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<sst xmlns="http://schemas.openxmlformats.org/spreadsheetml/2006/main" count="1761" uniqueCount="1159">
  <si>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</si>
  <si>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</si>
  <si>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</si>
  <si>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3º Bimestre de 2019</t>
  </si>
  <si>
    <t>1º Bimestre de 2019</t>
  </si>
  <si>
    <t>INFORMAÇÕES INICIAIS - Versão 2019.1</t>
  </si>
  <si>
    <t>2º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</si>
  <si>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</si>
  <si>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</si>
  <si>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</si>
  <si>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</si>
  <si>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</si>
  <si>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</si>
  <si>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</si>
  <si>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</si>
  <si>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</si>
  <si>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</si>
  <si>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</si>
  <si>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</si>
  <si>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</si>
  <si>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</si>
  <si>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</si>
  <si>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</si>
  <si>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</si>
  <si>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</si>
  <si>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</si>
  <si>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</si>
  <si>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</si>
  <si>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</si>
  <si>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</si>
  <si>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</si>
  <si>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</si>
  <si>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</si>
  <si>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</si>
  <si>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</si>
  <si>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</si>
  <si>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</si>
  <si>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</si>
  <si>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</si>
  <si>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</si>
  <si>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</si>
  <si>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</si>
  <si>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</si>
  <si>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</si>
  <si>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</si>
  <si>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</si>
  <si>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</si>
  <si>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</si>
  <si>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</si>
  <si>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</si>
  <si>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</si>
  <si>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</si>
  <si>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</si>
  <si>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</si>
  <si>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</si>
  <si>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</si>
  <si>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</si>
  <si>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</si>
  <si>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</si>
  <si>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</si>
  <si>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</si>
  <si>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</si>
  <si>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</si>
  <si>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</si>
  <si>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</si>
  <si>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</si>
  <si>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</si>
  <si>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</si>
  <si>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</si>
  <si>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</si>
  <si>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</si>
  <si>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</si>
  <si>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</si>
  <si>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</si>
  <si>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</si>
  <si>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</si>
  <si>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</si>
  <si>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</si>
  <si>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</si>
  <si>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</si>
  <si>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</si>
  <si>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</si>
  <si>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</si>
  <si>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</si>
  <si>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</si>
  <si>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</si>
  <si>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</si>
  <si>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</si>
  <si>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</si>
  <si>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</si>
  <si>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</si>
  <si>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</si>
  <si>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</si>
  <si>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</si>
  <si>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</si>
  <si>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</si>
  <si>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</si>
  <si>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</si>
  <si>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</si>
  <si>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</si>
  <si>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</si>
  <si>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</si>
  <si>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</si>
  <si>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</si>
  <si>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</si>
  <si>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</si>
  <si>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</si>
  <si>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</si>
  <si>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</si>
  <si>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</si>
  <si>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</si>
  <si>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</si>
  <si>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</si>
  <si>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</si>
  <si>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</si>
  <si>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</si>
  <si>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</si>
  <si>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</si>
  <si>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</si>
  <si>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</si>
  <si>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</si>
  <si>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</si>
  <si>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</si>
  <si>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</si>
  <si>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</si>
  <si>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</si>
  <si>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</si>
  <si>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</si>
  <si>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</si>
  <si>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</si>
  <si>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</si>
  <si>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</si>
  <si>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</si>
  <si>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</si>
  <si>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</si>
  <si>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</si>
  <si>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</si>
  <si>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</si>
  <si>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</si>
  <si>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</si>
  <si>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</si>
  <si>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</si>
  <si>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</si>
  <si>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</si>
  <si>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</si>
  <si>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</si>
  <si>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</si>
  <si>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</si>
  <si>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</si>
  <si>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</si>
  <si>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</si>
  <si>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</si>
  <si>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</si>
  <si>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</si>
  <si>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</si>
  <si>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</si>
  <si>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</si>
  <si>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</si>
  <si>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</si>
  <si>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</si>
  <si>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</si>
  <si>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</si>
  <si>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</si>
  <si>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</si>
  <si>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</si>
  <si>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</si>
  <si>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</si>
  <si>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</si>
  <si>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</si>
  <si>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</si>
  <si>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</si>
  <si>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</si>
  <si>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</si>
  <si>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</si>
  <si>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</si>
  <si>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</si>
  <si>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</si>
  <si>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</si>
  <si>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</si>
  <si>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</si>
  <si>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</si>
  <si>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</si>
  <si>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</si>
  <si>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</si>
  <si>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</si>
  <si>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</si>
  <si>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</si>
  <si>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</si>
  <si>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</si>
  <si>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</si>
  <si>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</si>
  <si>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</si>
  <si>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</si>
  <si>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</si>
  <si>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</si>
  <si>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</si>
  <si>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</si>
  <si>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</si>
  <si>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</si>
  <si>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</si>
  <si>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</si>
  <si>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</si>
  <si>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</si>
  <si>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</si>
  <si>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</si>
  <si>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</si>
  <si>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</si>
  <si>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</si>
  <si>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</si>
  <si>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</si>
  <si>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</si>
  <si>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</si>
  <si>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</si>
  <si>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</si>
  <si>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</si>
  <si>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</si>
  <si>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</si>
  <si>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</si>
  <si>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</si>
  <si>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</si>
  <si>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</si>
  <si>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</si>
  <si>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</si>
  <si>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</si>
  <si>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</si>
  <si>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</si>
  <si>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</si>
  <si>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</si>
  <si>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</si>
  <si>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</si>
  <si>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</si>
  <si>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</si>
  <si>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</si>
  <si>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</si>
  <si>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</si>
  <si>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</si>
  <si>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</si>
  <si>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</si>
  <si>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</si>
  <si>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</si>
  <si>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</si>
  <si>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</si>
  <si>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</si>
  <si>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</si>
  <si>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</si>
  <si>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</si>
  <si>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</si>
  <si>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</si>
  <si>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</si>
  <si>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</si>
  <si>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</si>
  <si>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</si>
  <si>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</si>
  <si>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</si>
  <si>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</si>
  <si>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</si>
  <si>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</si>
  <si>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</si>
  <si>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</si>
  <si>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</si>
  <si>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</si>
  <si>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</si>
  <si>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</si>
  <si>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</si>
  <si>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</si>
  <si>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</si>
  <si>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</si>
  <si>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</si>
  <si>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</si>
  <si>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</si>
  <si>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</si>
  <si>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</si>
  <si>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</si>
  <si>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</si>
  <si>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</si>
  <si>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</si>
  <si>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</si>
  <si>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</si>
  <si>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</si>
  <si>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</si>
  <si>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</si>
  <si>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</si>
  <si>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</si>
  <si>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</si>
  <si>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</si>
  <si>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</si>
  <si>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</si>
  <si>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</si>
  <si>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</si>
  <si>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</si>
  <si>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</si>
  <si>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</si>
  <si>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</si>
  <si>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</si>
  <si>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</si>
  <si>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</si>
  <si>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</si>
  <si>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</si>
  <si>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</si>
  <si>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</si>
  <si>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</si>
  <si>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</si>
  <si>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</si>
  <si>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</si>
  <si>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</si>
  <si>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</si>
  <si>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</si>
  <si>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</si>
  <si>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</si>
  <si>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</si>
  <si>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</si>
  <si>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</si>
  <si>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</si>
  <si>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</si>
  <si>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</si>
  <si>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</si>
  <si>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</si>
  <si>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</si>
  <si>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</si>
  <si>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</si>
  <si>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</si>
  <si>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</si>
  <si>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</si>
  <si>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</si>
  <si>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</si>
  <si>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</si>
  <si>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</si>
  <si>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</si>
  <si>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</si>
  <si>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</si>
  <si>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</si>
  <si>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</si>
  <si>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</si>
  <si>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</si>
  <si>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</si>
  <si>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</si>
  <si>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</si>
  <si>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</si>
  <si>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</si>
  <si>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</si>
  <si>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</si>
  <si>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</si>
  <si>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</si>
  <si>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</si>
  <si>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</si>
  <si>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</si>
  <si>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</si>
  <si>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</si>
  <si>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</si>
  <si>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</si>
  <si>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</si>
  <si>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</si>
  <si>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</si>
  <si>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</si>
  <si>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</si>
  <si>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</si>
  <si>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</si>
  <si>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</si>
  <si>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</si>
  <si>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</si>
  <si>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</si>
  <si>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</si>
  <si>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</si>
  <si>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</si>
  <si>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</si>
  <si>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</si>
  <si>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</si>
  <si>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</si>
  <si>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</si>
  <si>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</si>
  <si>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</si>
  <si>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</si>
  <si>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</si>
  <si>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</si>
  <si>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</si>
  <si>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</si>
  <si>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</si>
  <si>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</si>
  <si>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</si>
  <si>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</si>
  <si>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</si>
  <si>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</si>
  <si>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</si>
  <si>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</si>
  <si>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</si>
  <si>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</si>
  <si>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</si>
  <si>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</si>
  <si>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</si>
  <si>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</si>
  <si>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</si>
  <si>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</si>
  <si>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</si>
  <si>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</si>
  <si>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</si>
  <si>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</si>
  <si>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</si>
  <si>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</si>
  <si>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</si>
  <si>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</si>
  <si>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</si>
  <si>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</si>
  <si>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</si>
  <si>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</si>
  <si>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</si>
  <si>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</si>
  <si>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</si>
  <si>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</si>
  <si>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</si>
  <si>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</si>
  <si>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</si>
  <si>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</si>
  <si>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</si>
  <si>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</si>
  <si>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</si>
  <si>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</si>
  <si>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</si>
  <si>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</si>
  <si>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</si>
  <si>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</si>
  <si>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</si>
  <si>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</si>
  <si>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</si>
  <si>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</si>
  <si>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</si>
  <si>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</si>
  <si>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</si>
  <si>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</si>
  <si>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</si>
  <si>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</si>
  <si>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</si>
  <si>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</si>
  <si>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</si>
  <si>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</si>
  <si>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</si>
  <si>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</si>
  <si>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</si>
  <si>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</si>
  <si>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</si>
  <si>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</si>
  <si>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</si>
  <si>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</si>
  <si>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</si>
  <si>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</si>
  <si>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</si>
  <si>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</si>
  <si>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</si>
  <si>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</si>
  <si>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</si>
  <si>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</si>
  <si>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</si>
  <si>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</si>
  <si>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</si>
  <si>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</si>
  <si>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</si>
  <si>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</si>
  <si>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</si>
  <si>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</si>
  <si>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</si>
  <si>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</si>
  <si>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</si>
  <si>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</si>
  <si>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</si>
  <si>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</si>
  <si>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</si>
  <si>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</si>
  <si>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</si>
  <si>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</si>
  <si>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</si>
  <si>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</si>
  <si>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</si>
  <si>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</si>
  <si>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</si>
  <si>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</si>
  <si>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</si>
  <si>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</si>
  <si>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</si>
  <si>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</si>
  <si>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</si>
  <si>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</si>
  <si>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</si>
  <si>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</si>
  <si>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</si>
  <si>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</si>
  <si>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</si>
  <si>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</si>
  <si>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</si>
  <si>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</si>
  <si>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</si>
  <si>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</si>
  <si>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</si>
  <si>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</si>
  <si>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</si>
  <si>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</si>
  <si>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</si>
  <si>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</si>
  <si>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</si>
  <si>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</si>
  <si>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</si>
  <si>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</si>
  <si>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</si>
  <si>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</si>
  <si>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</si>
  <si>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</si>
  <si>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</si>
  <si>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</si>
  <si>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</si>
  <si>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</si>
  <si>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</si>
  <si>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</si>
  <si>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</si>
  <si>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</si>
  <si>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</si>
  <si>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</si>
  <si>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</si>
  <si>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</si>
  <si>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</si>
  <si>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</si>
  <si>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</si>
  <si>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</si>
  <si>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</si>
  <si>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</si>
  <si>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</si>
  <si>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</si>
  <si>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</si>
  <si>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</si>
  <si>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</si>
  <si>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</si>
  <si>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</si>
  <si>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</si>
  <si>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</si>
  <si>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</si>
  <si>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</si>
  <si>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</si>
  <si>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</si>
  <si>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</si>
  <si>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</si>
  <si>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</si>
  <si>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</si>
  <si>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</si>
  <si>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</si>
  <si>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</si>
  <si>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</si>
  <si>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</si>
  <si>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</si>
  <si>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</si>
  <si>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</si>
  <si>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</si>
  <si>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</si>
  <si>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</si>
  <si>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</si>
  <si>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</si>
  <si>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</si>
  <si>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</si>
  <si>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</si>
  <si>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</si>
  <si>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</si>
  <si>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</si>
  <si>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</si>
  <si>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</si>
  <si>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</si>
  <si>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</si>
  <si>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</si>
  <si>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</si>
  <si>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</si>
  <si>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</si>
  <si>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</si>
  <si>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</si>
  <si>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</si>
  <si>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</si>
  <si>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</si>
  <si>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</si>
  <si>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</si>
  <si>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</si>
  <si>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</si>
  <si>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</si>
  <si>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</si>
  <si>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</si>
  <si>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</si>
  <si>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</si>
  <si>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</si>
  <si>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</si>
  <si>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</si>
  <si>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</si>
  <si>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</si>
  <si>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</si>
  <si>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</si>
  <si>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</si>
  <si>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</si>
  <si>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</si>
  <si>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</si>
  <si>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</si>
  <si>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</si>
  <si>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</si>
  <si>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</si>
  <si>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</si>
  <si>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</si>
  <si>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</si>
  <si>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</si>
  <si>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</si>
  <si>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</si>
  <si>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</si>
  <si>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</si>
  <si>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</si>
  <si>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</si>
  <si>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</si>
  <si>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</si>
  <si>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</si>
  <si>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</si>
  <si>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</si>
  <si>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</si>
  <si>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</si>
  <si>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</si>
  <si>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</si>
  <si>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</si>
  <si>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</si>
  <si>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</si>
  <si>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</si>
  <si>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</si>
  <si>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</si>
  <si>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</si>
  <si>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</si>
  <si>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</si>
  <si>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</si>
  <si>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</si>
  <si>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</si>
  <si>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</si>
  <si>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</si>
  <si>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</si>
  <si>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</si>
  <si>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</si>
  <si>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</si>
  <si>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</si>
  <si>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</si>
  <si>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</si>
  <si>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</si>
  <si>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</si>
  <si>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</si>
  <si>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</si>
  <si>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</si>
  <si>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</si>
  <si>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</si>
  <si>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</si>
  <si>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</si>
  <si>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</si>
  <si>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</si>
  <si>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</si>
  <si>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</si>
  <si>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</si>
  <si>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</si>
  <si>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</si>
  <si>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</si>
  <si>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</si>
  <si>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</si>
  <si>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</si>
  <si>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</si>
  <si>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</si>
  <si>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</si>
  <si>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</si>
  <si>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</si>
  <si>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</si>
  <si>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</si>
  <si>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</si>
  <si>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</si>
  <si>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</si>
  <si>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</si>
  <si>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</si>
  <si>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</si>
  <si>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</si>
  <si>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</si>
  <si>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</si>
  <si>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</si>
  <si>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</si>
  <si>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</si>
  <si>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</si>
  <si>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</si>
  <si>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</si>
  <si>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</si>
  <si>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</si>
  <si>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</si>
  <si>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</si>
  <si>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</si>
  <si>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</si>
  <si>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</si>
  <si>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</si>
  <si>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</si>
  <si>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</si>
  <si>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</si>
  <si>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</si>
  <si>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</si>
  <si>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</si>
  <si>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</si>
  <si>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</si>
  <si>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</si>
  <si>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</si>
  <si>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</si>
  <si>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</si>
  <si>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</si>
  <si>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</si>
  <si>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</si>
  <si>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</si>
  <si>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</si>
  <si>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</si>
  <si>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</si>
  <si>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</si>
  <si>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</si>
  <si>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</si>
  <si>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</si>
  <si>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</si>
  <si>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</si>
  <si>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</si>
  <si>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</si>
  <si>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</si>
  <si>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</si>
  <si>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</si>
  <si>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</si>
  <si>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</si>
  <si>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</si>
  <si>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</si>
  <si>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</si>
  <si>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</si>
  <si>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</si>
  <si>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</si>
  <si>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</si>
  <si>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</si>
  <si>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</si>
  <si>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</si>
  <si>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</si>
  <si>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</si>
  <si>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</si>
  <si>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</si>
  <si>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</si>
  <si>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</si>
  <si>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</si>
  <si>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</si>
  <si>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</si>
  <si>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</si>
  <si>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</si>
  <si>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</si>
  <si>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</si>
  <si>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</si>
  <si>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</si>
  <si>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</si>
  <si>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</si>
  <si>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</si>
  <si>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</si>
  <si>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</si>
  <si>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</si>
  <si>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</si>
  <si>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</si>
  <si>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</si>
  <si>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</si>
  <si>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</si>
  <si>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</si>
  <si>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</si>
  <si>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</si>
  <si>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</si>
  <si>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</si>
  <si>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</si>
  <si>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</si>
  <si>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</si>
  <si>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</si>
  <si>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</si>
  <si>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</si>
  <si>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</si>
  <si>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</si>
  <si>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</si>
  <si>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</si>
  <si>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</si>
  <si>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</si>
  <si>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</si>
  <si>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</si>
  <si>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</si>
  <si>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</si>
  <si>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</si>
  <si>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</si>
  <si>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</si>
  <si>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</si>
  <si>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</si>
  <si>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</si>
  <si>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</si>
  <si>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</si>
  <si>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</si>
  <si>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</si>
  <si>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</si>
  <si>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</si>
  <si>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</si>
  <si>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</si>
  <si>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</si>
  <si>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</si>
  <si>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</si>
  <si>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</si>
  <si>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</si>
  <si>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</si>
  <si>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</si>
  <si>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</si>
  <si>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</si>
  <si>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</si>
  <si>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</si>
  <si>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</si>
  <si>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</si>
  <si>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</si>
  <si>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</si>
  <si>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</si>
  <si>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</si>
  <si>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</si>
  <si>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</si>
  <si>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</si>
  <si>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</si>
  <si>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</si>
  <si>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</si>
  <si>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</si>
  <si>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</si>
  <si>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</si>
  <si>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</si>
  <si>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</si>
  <si>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</si>
  <si>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</si>
  <si>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</si>
  <si>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</si>
  <si>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</si>
  <si>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</si>
  <si>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</si>
  <si>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</si>
  <si>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</si>
  <si>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</si>
  <si>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</si>
  <si>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</si>
  <si>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</si>
  <si>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</si>
  <si>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</si>
  <si>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</si>
  <si>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</si>
  <si>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</si>
  <si>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</si>
  <si>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</si>
  <si>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</si>
  <si>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</si>
  <si>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</si>
  <si>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</si>
  <si>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</si>
  <si>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</si>
  <si>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</si>
  <si>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</si>
  <si>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</si>
  <si>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</si>
  <si>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</si>
  <si>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</si>
  <si>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</si>
  <si>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</si>
  <si>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</si>
  <si>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</si>
  <si>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</si>
  <si>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</si>
  <si>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</si>
  <si>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</si>
  <si>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</si>
  <si>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</si>
  <si>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</si>
  <si>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</si>
  <si>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</si>
  <si>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</si>
  <si>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</si>
  <si>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</si>
  <si>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</si>
  <si>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</si>
  <si>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</si>
  <si>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</si>
  <si>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</si>
  <si>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</si>
  <si>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</si>
  <si>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</si>
  <si>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</si>
  <si>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</si>
  <si>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</si>
  <si>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</si>
  <si>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</si>
  <si>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</si>
  <si>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</si>
  <si>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</si>
  <si>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</si>
  <si>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</si>
  <si>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</si>
  <si>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</si>
  <si>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</si>
  <si>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</si>
  <si>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</si>
  <si>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</si>
  <si>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</si>
  <si>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</si>
  <si>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</si>
  <si>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</si>
  <si>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</si>
  <si>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</si>
  <si>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</si>
  <si>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</si>
  <si>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</si>
  <si>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</si>
  <si>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</si>
  <si>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</si>
  <si>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</si>
  <si>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</si>
  <si>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</si>
  <si>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</si>
  <si>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</si>
  <si>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</si>
  <si>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</si>
  <si>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</si>
  <si>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</si>
  <si>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</si>
  <si>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</si>
  <si>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</si>
  <si>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</si>
  <si>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</si>
  <si>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</si>
  <si>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</si>
  <si>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</si>
  <si>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</si>
  <si>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</si>
  <si>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</si>
  <si>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</si>
  <si>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</si>
  <si>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</si>
  <si>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</si>
  <si>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</si>
  <si>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</si>
  <si>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</si>
  <si>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</si>
  <si>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</si>
  <si>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</si>
  <si>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</si>
  <si>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</si>
  <si>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</si>
  <si>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</si>
  <si>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</si>
  <si>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</si>
  <si>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</si>
  <si>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</si>
  <si>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</si>
  <si>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</si>
  <si>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</si>
  <si>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</si>
  <si>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</si>
  <si>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</si>
  <si>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</si>
  <si>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</si>
  <si>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</si>
  <si>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</si>
  <si>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</si>
  <si>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</si>
  <si>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</si>
  <si>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</si>
  <si>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</si>
  <si>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</si>
  <si>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</si>
  <si>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</si>
  <si>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</si>
  <si>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</si>
  <si>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</si>
  <si>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</si>
  <si>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</si>
  <si>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</si>
  <si>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</si>
  <si>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</si>
  <si>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</si>
  <si>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</si>
  <si>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</si>
  <si>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</si>
  <si>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</si>
  <si>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</si>
  <si>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</si>
  <si>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</si>
  <si>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</si>
  <si>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</si>
  <si>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</si>
  <si>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</si>
  <si>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</si>
  <si>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</si>
  <si>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</si>
  <si>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</si>
  <si>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</si>
  <si>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</si>
  <si>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</si>
  <si>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</si>
  <si>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</si>
  <si>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</si>
  <si>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</si>
  <si>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</si>
  <si>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</si>
  <si>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</si>
  <si>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</si>
  <si>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</si>
  <si>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</si>
  <si>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</si>
  <si>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</si>
  <si>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</si>
  <si>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</si>
  <si>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</si>
  <si>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</si>
  <si>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</si>
  <si>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</si>
  <si>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</si>
  <si>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</si>
  <si>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</si>
  <si>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</si>
  <si>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</si>
  <si>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</si>
  <si>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</si>
  <si>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</si>
  <si>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</si>
  <si>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</si>
  <si>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</si>
  <si>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</si>
  <si>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</si>
  <si>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</si>
  <si>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</si>
  <si>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</si>
  <si>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</si>
  <si>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</si>
  <si>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</si>
  <si>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</si>
  <si>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</si>
  <si>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</si>
  <si>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</si>
  <si>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</si>
  <si>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</si>
  <si>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</si>
  <si>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</si>
  <si>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</si>
  <si>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</si>
  <si>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</si>
  <si>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</si>
  <si>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</si>
  <si>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</si>
  <si>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</si>
  <si>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</si>
  <si>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</si>
  <si>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</si>
  <si>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</si>
  <si>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</si>
  <si>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</si>
  <si>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</si>
  <si>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</si>
  <si>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</si>
  <si>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</si>
  <si>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</si>
  <si>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</si>
  <si>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</si>
  <si>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</si>
  <si>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</si>
  <si>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</si>
  <si>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</si>
  <si>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</si>
  <si>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</si>
  <si>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</si>
  <si>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</si>
  <si>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</si>
  <si>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</si>
  <si>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</si>
  <si>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</si>
  <si>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</si>
  <si>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</si>
  <si>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</si>
  <si>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</si>
  <si>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</si>
  <si>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</si>
  <si>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</si>
  <si>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</si>
  <si>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</si>
  <si>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</si>
  <si>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</si>
  <si>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</si>
  <si>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</si>
  <si>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</si>
  <si>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</si>
  <si>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</si>
  <si>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</si>
  <si>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</si>
  <si>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</si>
  <si>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</si>
  <si>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</si>
  <si>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</si>
  <si>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</si>
  <si>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</si>
  <si>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</si>
  <si>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</si>
  <si>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</si>
  <si>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</si>
  <si>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</si>
  <si>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</si>
  <si>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</si>
  <si>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</si>
  <si>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</si>
  <si>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</si>
  <si>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</si>
  <si>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</si>
  <si>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</si>
  <si>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</si>
  <si>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</si>
  <si>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</si>
  <si>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</si>
  <si>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</si>
  <si>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</si>
  <si>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</si>
  <si>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</si>
  <si>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</si>
  <si>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</si>
  <si>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</si>
  <si>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</si>
  <si>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</si>
  <si>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</si>
  <si>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</si>
  <si>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</si>
  <si>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</si>
  <si>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</si>
  <si>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</si>
  <si>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</si>
  <si>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</si>
  <si>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</si>
  <si>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</si>
  <si>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</si>
  <si>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</si>
  <si>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</si>
  <si>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</si>
  <si>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</si>
  <si>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</si>
  <si>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</si>
  <si>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</si>
  <si>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</si>
  <si>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</si>
  <si>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</si>
  <si>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</si>
  <si>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</si>
  <si>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</si>
  <si>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</si>
  <si>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</si>
  <si>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</si>
  <si>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</si>
  <si>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MUNICÍPIO DE RIBAMAR FIQUENE - PODER EXECUTIVO</t>
  </si>
  <si>
    <t>PREFEITURA MUNICIPAL DE RIBAMAR FIQUENE</t>
  </si>
  <si>
    <t>01.598.547/0001-01</t>
  </si>
  <si>
    <t>EDILOMAR NERY DE MIRANDA</t>
  </si>
  <si>
    <t>01/01/2017 A 31/12/2020</t>
  </si>
  <si>
    <t>345.317.423-20</t>
  </si>
  <si>
    <t>WERQUITHON COELHO MOREIRA</t>
  </si>
  <si>
    <t>MURAL PUBLICO, WWW.RIBAMARFIQUENE.MA.GOV.BR</t>
  </si>
  <si>
    <t>21/07/2020</t>
  </si>
  <si>
    <t>https://WWW.RIBAMARFIQUENE.MA.GOV.BR</t>
  </si>
  <si>
    <t>AV. PRINCIPAL SN, CENTRO, CEP 65.938-000</t>
  </si>
  <si>
    <t>(99) 98160-0986</t>
  </si>
  <si>
    <t>PREFEITURARIBAMARFIQUENE@HOTMAIL.COM</t>
  </si>
  <si>
    <t>APLICATIVO: Fênix LRF - www.fenix.com.br, ÓRGÃO EMISSOR: PREFEITURA MUNICIPAL DE RIBAMAR FIQUENE, 21/jul/2020 às 08h e 30m</t>
  </si>
  <si>
    <t>20 – RECURSOS RECEBIDOS DO FUNDEB EM 2019 QUE NÃO FORAM UTILIZADOS</t>
  </si>
  <si>
    <t>21 – DESPESAS CUSTEADAS COM O SALDO DO ITEM 20 ATÉ O 1º TRIMESTRE DE 2020</t>
  </si>
  <si>
    <t>Inscritos em 2016</t>
  </si>
  <si>
    <t>Restos a Pagar Cancelados ou Prescritos em 2016</t>
  </si>
  <si>
    <t>Diferença de limite não cumprido em 2015</t>
  </si>
  <si>
    <t>3º Bimestre de 2020</t>
  </si>
  <si>
    <t>8101 - MA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</si>
</sst>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</numFmts>
  <fonts count="10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sz val="8"/>
      <color indexed="9"/>
      <name val="Arial"/>
      <family val="2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0" borderId="3" applyNumberFormat="0" applyFill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2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5" fillId="25" borderId="6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3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0" borderId="0" xfId="72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14" fontId="0" fillId="0" borderId="0" xfId="72" applyNumberFormat="1" applyFont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23" fillId="0" borderId="0" xfId="72" applyFont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0" fillId="0" borderId="15" xfId="72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65" fontId="24" fillId="0" borderId="0" xfId="79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6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67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166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166" fontId="26" fillId="42" borderId="19" xfId="0" applyNumberFormat="1" applyFont="1" applyFill="1" applyBorder="1" applyAlignment="1" applyProtection="1">
      <alignment horizontal="center"/>
      <protection/>
    </xf>
    <xf numFmtId="49" fontId="26" fillId="42" borderId="19" xfId="0" applyNumberFormat="1" applyFont="1" applyFill="1" applyBorder="1" applyAlignment="1" applyProtection="1">
      <alignment horizontal="center"/>
      <protection/>
    </xf>
    <xf numFmtId="0" fontId="24" fillId="42" borderId="13" xfId="0" applyFont="1" applyFill="1" applyBorder="1" applyAlignment="1" applyProtection="1">
      <alignment wrapText="1"/>
      <protection/>
    </xf>
    <xf numFmtId="10" fontId="24" fillId="42" borderId="20" xfId="77" applyNumberFormat="1" applyFont="1" applyFill="1" applyBorder="1" applyAlignment="1" applyProtection="1">
      <alignment/>
      <protection/>
    </xf>
    <xf numFmtId="165" fontId="24" fillId="42" borderId="21" xfId="79" applyFont="1" applyFill="1" applyBorder="1" applyAlignment="1" applyProtection="1">
      <alignment/>
      <protection/>
    </xf>
    <xf numFmtId="49" fontId="24" fillId="35" borderId="13" xfId="0" applyNumberFormat="1" applyFont="1" applyFill="1" applyBorder="1" applyAlignment="1" applyProtection="1">
      <alignment/>
      <protection/>
    </xf>
    <xf numFmtId="10" fontId="24" fillId="35" borderId="17" xfId="77" applyNumberFormat="1" applyFont="1" applyFill="1" applyBorder="1" applyAlignment="1" applyProtection="1">
      <alignment/>
      <protection/>
    </xf>
    <xf numFmtId="165" fontId="24" fillId="35" borderId="16" xfId="79" applyFont="1" applyFill="1" applyBorder="1" applyAlignment="1" applyProtection="1">
      <alignment/>
      <protection/>
    </xf>
    <xf numFmtId="49" fontId="28" fillId="38" borderId="13" xfId="0" applyNumberFormat="1" applyFont="1" applyFill="1" applyBorder="1" applyAlignment="1" applyProtection="1">
      <alignment/>
      <protection/>
    </xf>
    <xf numFmtId="10" fontId="24" fillId="38" borderId="16" xfId="77" applyNumberFormat="1" applyFont="1" applyFill="1" applyBorder="1" applyAlignment="1" applyProtection="1">
      <alignment/>
      <protection/>
    </xf>
    <xf numFmtId="165" fontId="24" fillId="38" borderId="16" xfId="79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10" fontId="24" fillId="0" borderId="16" xfId="77" applyNumberFormat="1" applyFont="1" applyFill="1" applyBorder="1" applyAlignment="1" applyProtection="1">
      <alignment/>
      <protection/>
    </xf>
    <xf numFmtId="165" fontId="24" fillId="0" borderId="16" xfId="79" applyFont="1" applyFill="1" applyBorder="1" applyAlignment="1" applyProtection="1">
      <alignment/>
      <protection/>
    </xf>
    <xf numFmtId="49" fontId="24" fillId="38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justify" vertical="center" wrapText="1"/>
      <protection/>
    </xf>
    <xf numFmtId="49" fontId="24" fillId="0" borderId="13" xfId="0" applyNumberFormat="1" applyFont="1" applyFill="1" applyBorder="1" applyAlignment="1" applyProtection="1">
      <alignment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165" fontId="24" fillId="42" borderId="16" xfId="79" applyFont="1" applyFill="1" applyBorder="1" applyAlignment="1" applyProtection="1">
      <alignment horizontal="center" vertical="center"/>
      <protection locked="0"/>
    </xf>
    <xf numFmtId="10" fontId="24" fillId="0" borderId="16" xfId="77" applyNumberFormat="1" applyFont="1" applyFill="1" applyBorder="1" applyAlignment="1" applyProtection="1">
      <alignment vertical="center"/>
      <protection/>
    </xf>
    <xf numFmtId="165" fontId="24" fillId="0" borderId="16" xfId="79" applyFont="1" applyFill="1" applyBorder="1" applyAlignment="1" applyProtection="1">
      <alignment vertical="center"/>
      <protection/>
    </xf>
    <xf numFmtId="10" fontId="24" fillId="43" borderId="16" xfId="77" applyNumberFormat="1" applyFont="1" applyFill="1" applyBorder="1" applyAlignment="1" applyProtection="1">
      <alignment/>
      <protection/>
    </xf>
    <xf numFmtId="165" fontId="24" fillId="43" borderId="16" xfId="79" applyFont="1" applyFill="1" applyBorder="1" applyAlignment="1" applyProtection="1">
      <alignment/>
      <protection/>
    </xf>
    <xf numFmtId="10" fontId="24" fillId="44" borderId="16" xfId="77" applyNumberFormat="1" applyFont="1" applyFill="1" applyBorder="1" applyAlignment="1" applyProtection="1">
      <alignment/>
      <protection/>
    </xf>
    <xf numFmtId="165" fontId="24" fillId="44" borderId="16" xfId="79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165" fontId="24" fillId="42" borderId="17" xfId="79" applyFont="1" applyFill="1" applyBorder="1" applyAlignment="1" applyProtection="1">
      <alignment horizontal="center"/>
      <protection locked="0"/>
    </xf>
    <xf numFmtId="165" fontId="24" fillId="42" borderId="13" xfId="79" applyFont="1" applyFill="1" applyBorder="1" applyAlignment="1" applyProtection="1">
      <alignment horizontal="center"/>
      <protection locked="0"/>
    </xf>
    <xf numFmtId="0" fontId="28" fillId="42" borderId="14" xfId="0" applyFont="1" applyFill="1" applyBorder="1" applyAlignment="1" applyProtection="1">
      <alignment horizontal="justify" vertical="top" wrapText="1"/>
      <protection/>
    </xf>
    <xf numFmtId="10" fontId="24" fillId="42" borderId="16" xfId="77" applyNumberFormat="1" applyFont="1" applyFill="1" applyBorder="1" applyAlignment="1" applyProtection="1">
      <alignment/>
      <protection/>
    </xf>
    <xf numFmtId="40" fontId="24" fillId="42" borderId="16" xfId="79" applyNumberFormat="1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37" fontId="24" fillId="45" borderId="22" xfId="0" applyNumberFormat="1" applyFont="1" applyFill="1" applyBorder="1" applyAlignment="1" applyProtection="1">
      <alignment horizontal="center"/>
      <protection/>
    </xf>
    <xf numFmtId="40" fontId="24" fillId="0" borderId="22" xfId="79" applyNumberFormat="1" applyFont="1" applyFill="1" applyBorder="1" applyAlignment="1" applyProtection="1">
      <alignment/>
      <protection/>
    </xf>
    <xf numFmtId="0" fontId="24" fillId="42" borderId="23" xfId="0" applyNumberFormat="1" applyFont="1" applyFill="1" applyBorder="1" applyAlignment="1" applyProtection="1">
      <alignment wrapText="1"/>
      <protection/>
    </xf>
    <xf numFmtId="165" fontId="24" fillId="42" borderId="16" xfId="79" applyFont="1" applyFill="1" applyBorder="1" applyAlignment="1" applyProtection="1">
      <alignment horizontal="center"/>
      <protection/>
    </xf>
    <xf numFmtId="165" fontId="24" fillId="42" borderId="16" xfId="79" applyFont="1" applyFill="1" applyBorder="1" applyAlignment="1" applyProtection="1">
      <alignment/>
      <protection/>
    </xf>
    <xf numFmtId="10" fontId="24" fillId="35" borderId="16" xfId="77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/>
      <protection/>
    </xf>
    <xf numFmtId="165" fontId="24" fillId="45" borderId="22" xfId="79" applyFont="1" applyFill="1" applyBorder="1" applyAlignment="1" applyProtection="1">
      <alignment horizontal="center"/>
      <protection/>
    </xf>
    <xf numFmtId="165" fontId="24" fillId="46" borderId="22" xfId="79" applyFont="1" applyFill="1" applyBorder="1" applyAlignment="1" applyProtection="1">
      <alignment/>
      <protection/>
    </xf>
    <xf numFmtId="49" fontId="24" fillId="42" borderId="12" xfId="0" applyNumberFormat="1" applyFont="1" applyFill="1" applyBorder="1" applyAlignment="1" applyProtection="1">
      <alignment/>
      <protection/>
    </xf>
    <xf numFmtId="40" fontId="24" fillId="42" borderId="22" xfId="79" applyNumberFormat="1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Font="1" applyBorder="1" applyAlignment="1" applyProtection="1">
      <alignment horizontal="left"/>
      <protection/>
    </xf>
    <xf numFmtId="0" fontId="26" fillId="42" borderId="24" xfId="0" applyNumberFormat="1" applyFont="1" applyFill="1" applyBorder="1" applyAlignment="1" applyProtection="1">
      <alignment/>
      <protection/>
    </xf>
    <xf numFmtId="0" fontId="26" fillId="42" borderId="20" xfId="0" applyNumberFormat="1" applyFont="1" applyFill="1" applyBorder="1" applyAlignment="1" applyProtection="1">
      <alignment horizontal="center"/>
      <protection/>
    </xf>
    <xf numFmtId="0" fontId="27" fillId="42" borderId="0" xfId="0" applyNumberFormat="1" applyFont="1" applyFill="1" applyBorder="1" applyAlignment="1" applyProtection="1">
      <alignment horizontal="center"/>
      <protection/>
    </xf>
    <xf numFmtId="0" fontId="26" fillId="42" borderId="17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6" fillId="42" borderId="15" xfId="0" applyNumberFormat="1" applyFont="1" applyFill="1" applyBorder="1" applyAlignment="1" applyProtection="1">
      <alignment/>
      <protection/>
    </xf>
    <xf numFmtId="0" fontId="26" fillId="42" borderId="18" xfId="0" applyNumberFormat="1" applyFont="1" applyFill="1" applyBorder="1" applyAlignment="1" applyProtection="1">
      <alignment horizontal="center"/>
      <protection/>
    </xf>
    <xf numFmtId="0" fontId="26" fillId="42" borderId="19" xfId="0" applyNumberFormat="1" applyFont="1" applyFill="1" applyBorder="1" applyAlignment="1" applyProtection="1">
      <alignment horizontal="center"/>
      <protection/>
    </xf>
    <xf numFmtId="0" fontId="24" fillId="42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/>
      <protection/>
    </xf>
    <xf numFmtId="165" fontId="24" fillId="42" borderId="16" xfId="79" applyNumberFormat="1" applyFont="1" applyFill="1" applyBorder="1" applyAlignment="1" applyProtection="1">
      <alignment/>
      <protection locked="0"/>
    </xf>
    <xf numFmtId="165" fontId="24" fillId="42" borderId="17" xfId="79" applyNumberFormat="1" applyFont="1" applyFill="1" applyBorder="1" applyAlignment="1" applyProtection="1">
      <alignment/>
      <protection locked="0"/>
    </xf>
    <xf numFmtId="165" fontId="24" fillId="38" borderId="17" xfId="79" applyFont="1" applyFill="1" applyBorder="1" applyAlignment="1" applyProtection="1">
      <alignment/>
      <protection/>
    </xf>
    <xf numFmtId="165" fontId="24" fillId="35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42" borderId="0" xfId="0" applyNumberFormat="1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165" fontId="24" fillId="0" borderId="25" xfId="79" applyFont="1" applyFill="1" applyBorder="1" applyAlignment="1" applyProtection="1">
      <alignment/>
      <protection/>
    </xf>
    <xf numFmtId="0" fontId="24" fillId="35" borderId="23" xfId="0" applyNumberFormat="1" applyFont="1" applyFill="1" applyBorder="1" applyAlignment="1" applyProtection="1">
      <alignment wrapText="1"/>
      <protection/>
    </xf>
    <xf numFmtId="165" fontId="24" fillId="35" borderId="20" xfId="79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/>
      <protection locked="0"/>
    </xf>
    <xf numFmtId="165" fontId="24" fillId="42" borderId="16" xfId="79" applyFont="1" applyFill="1" applyBorder="1" applyAlignment="1" applyProtection="1">
      <alignment/>
      <protection locked="0"/>
    </xf>
    <xf numFmtId="165" fontId="24" fillId="0" borderId="17" xfId="79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65" fontId="24" fillId="0" borderId="22" xfId="79" applyFont="1" applyFill="1" applyBorder="1" applyAlignment="1" applyProtection="1">
      <alignment/>
      <protection/>
    </xf>
    <xf numFmtId="165" fontId="24" fillId="0" borderId="25" xfId="79" applyFont="1" applyFill="1" applyBorder="1" applyAlignment="1" applyProtection="1">
      <alignment horizontal="center"/>
      <protection locked="0"/>
    </xf>
    <xf numFmtId="0" fontId="24" fillId="42" borderId="15" xfId="0" applyNumberFormat="1" applyFont="1" applyFill="1" applyBorder="1" applyAlignment="1" applyProtection="1">
      <alignment/>
      <protection/>
    </xf>
    <xf numFmtId="165" fontId="24" fillId="42" borderId="19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5" fontId="24" fillId="42" borderId="25" xfId="79" applyNumberFormat="1" applyFont="1" applyFill="1" applyBorder="1" applyAlignment="1" applyProtection="1">
      <alignment/>
      <protection/>
    </xf>
    <xf numFmtId="165" fontId="24" fillId="35" borderId="25" xfId="79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4" fillId="0" borderId="15" xfId="0" applyNumberFormat="1" applyFont="1" applyFill="1" applyBorder="1" applyAlignment="1" applyProtection="1">
      <alignment/>
      <protection/>
    </xf>
    <xf numFmtId="49" fontId="26" fillId="42" borderId="23" xfId="0" applyNumberFormat="1" applyFont="1" applyFill="1" applyBorder="1" applyAlignment="1" applyProtection="1">
      <alignment wrapText="1"/>
      <protection/>
    </xf>
    <xf numFmtId="49" fontId="26" fillId="42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42" borderId="13" xfId="0" applyFont="1" applyFill="1" applyBorder="1" applyAlignment="1" applyProtection="1">
      <alignment horizontal="center"/>
      <protection/>
    </xf>
    <xf numFmtId="0" fontId="26" fillId="42" borderId="14" xfId="0" applyFont="1" applyFill="1" applyBorder="1" applyAlignment="1" applyProtection="1">
      <alignment/>
      <protection/>
    </xf>
    <xf numFmtId="49" fontId="26" fillId="42" borderId="19" xfId="0" applyNumberFormat="1" applyFont="1" applyFill="1" applyBorder="1" applyAlignment="1" applyProtection="1">
      <alignment vertical="center"/>
      <protection/>
    </xf>
    <xf numFmtId="49" fontId="26" fillId="42" borderId="14" xfId="0" applyNumberFormat="1" applyFont="1" applyFill="1" applyBorder="1" applyAlignment="1" applyProtection="1">
      <alignment vertical="center"/>
      <protection/>
    </xf>
    <xf numFmtId="0" fontId="24" fillId="42" borderId="23" xfId="0" applyFont="1" applyFill="1" applyBorder="1" applyAlignment="1" applyProtection="1">
      <alignment wrapText="1"/>
      <protection/>
    </xf>
    <xf numFmtId="40" fontId="24" fillId="42" borderId="21" xfId="79" applyNumberFormat="1" applyFont="1" applyFill="1" applyBorder="1" applyAlignment="1" applyProtection="1">
      <alignment/>
      <protection/>
    </xf>
    <xf numFmtId="10" fontId="24" fillId="0" borderId="17" xfId="77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6" fillId="42" borderId="17" xfId="0" applyNumberFormat="1" applyFont="1" applyFill="1" applyBorder="1" applyAlignment="1" applyProtection="1">
      <alignment horizont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/>
      <protection/>
    </xf>
    <xf numFmtId="0" fontId="26" fillId="42" borderId="19" xfId="0" applyNumberFormat="1" applyFont="1" applyFill="1" applyBorder="1" applyAlignment="1" applyProtection="1">
      <alignment horizontal="center" vertical="center"/>
      <protection/>
    </xf>
    <xf numFmtId="165" fontId="24" fillId="35" borderId="21" xfId="79" applyFont="1" applyFill="1" applyBorder="1" applyAlignment="1" applyProtection="1">
      <alignment/>
      <protection/>
    </xf>
    <xf numFmtId="0" fontId="24" fillId="38" borderId="13" xfId="0" applyNumberFormat="1" applyFont="1" applyFill="1" applyBorder="1" applyAlignment="1" applyProtection="1">
      <alignment/>
      <protection/>
    </xf>
    <xf numFmtId="165" fontId="24" fillId="42" borderId="0" xfId="79" applyNumberFormat="1" applyFont="1" applyFill="1" applyBorder="1" applyAlignment="1" applyProtection="1">
      <alignment/>
      <protection locked="0"/>
    </xf>
    <xf numFmtId="165" fontId="24" fillId="42" borderId="0" xfId="79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65" fontId="24" fillId="42" borderId="15" xfId="79" applyFont="1" applyFill="1" applyBorder="1" applyAlignment="1" applyProtection="1">
      <alignment/>
      <protection locked="0"/>
    </xf>
    <xf numFmtId="165" fontId="24" fillId="42" borderId="18" xfId="79" applyFont="1" applyFill="1" applyBorder="1" applyAlignment="1" applyProtection="1">
      <alignment/>
      <protection locked="0"/>
    </xf>
    <xf numFmtId="165" fontId="24" fillId="0" borderId="18" xfId="79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66" fontId="24" fillId="0" borderId="0" xfId="0" applyNumberFormat="1" applyFont="1" applyFill="1" applyAlignment="1" applyProtection="1">
      <alignment/>
      <protection/>
    </xf>
    <xf numFmtId="167" fontId="24" fillId="0" borderId="0" xfId="0" applyNumberFormat="1" applyFont="1" applyFill="1" applyAlignment="1" applyProtection="1">
      <alignment horizontal="right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16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/>
      <protection/>
    </xf>
    <xf numFmtId="0" fontId="26" fillId="42" borderId="18" xfId="0" applyFont="1" applyFill="1" applyBorder="1" applyAlignment="1" applyProtection="1">
      <alignment horizontal="center"/>
      <protection/>
    </xf>
    <xf numFmtId="0" fontId="26" fillId="42" borderId="1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35" borderId="13" xfId="0" applyFont="1" applyFill="1" applyBorder="1" applyAlignment="1" applyProtection="1">
      <alignment/>
      <protection/>
    </xf>
    <xf numFmtId="165" fontId="24" fillId="35" borderId="16" xfId="0" applyNumberFormat="1" applyFont="1" applyFill="1" applyBorder="1" applyAlignment="1" applyProtection="1">
      <alignment/>
      <protection/>
    </xf>
    <xf numFmtId="0" fontId="24" fillId="38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 indent="2"/>
      <protection/>
    </xf>
    <xf numFmtId="165" fontId="24" fillId="42" borderId="13" xfId="79" applyNumberFormat="1" applyFont="1" applyFill="1" applyBorder="1" applyAlignment="1" applyProtection="1">
      <alignment/>
      <protection locked="0"/>
    </xf>
    <xf numFmtId="165" fontId="24" fillId="0" borderId="17" xfId="79" applyFont="1" applyFill="1" applyBorder="1" applyAlignment="1" applyProtection="1">
      <alignment/>
      <protection/>
    </xf>
    <xf numFmtId="165" fontId="24" fillId="42" borderId="22" xfId="79" applyNumberFormat="1" applyFont="1" applyFill="1" applyBorder="1" applyAlignment="1" applyProtection="1">
      <alignment/>
      <protection locked="0"/>
    </xf>
    <xf numFmtId="0" fontId="24" fillId="45" borderId="22" xfId="0" applyFont="1" applyFill="1" applyBorder="1" applyAlignment="1" applyProtection="1">
      <alignment/>
      <protection/>
    </xf>
    <xf numFmtId="165" fontId="24" fillId="38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38" borderId="13" xfId="0" applyFont="1" applyFill="1" applyBorder="1" applyAlignment="1" applyProtection="1">
      <alignment/>
      <protection/>
    </xf>
    <xf numFmtId="0" fontId="24" fillId="42" borderId="22" xfId="0" applyFont="1" applyFill="1" applyBorder="1" applyAlignment="1" applyProtection="1">
      <alignment/>
      <protection locked="0"/>
    </xf>
    <xf numFmtId="0" fontId="24" fillId="35" borderId="13" xfId="0" applyFont="1" applyFill="1" applyBorder="1" applyAlignment="1" applyProtection="1">
      <alignment/>
      <protection/>
    </xf>
    <xf numFmtId="165" fontId="24" fillId="42" borderId="16" xfId="0" applyNumberFormat="1" applyFont="1" applyFill="1" applyBorder="1" applyAlignment="1" applyProtection="1">
      <alignment/>
      <protection locked="0"/>
    </xf>
    <xf numFmtId="165" fontId="24" fillId="35" borderId="16" xfId="0" applyNumberFormat="1" applyFont="1" applyFill="1" applyBorder="1" applyAlignment="1" applyProtection="1">
      <alignment/>
      <protection locked="0"/>
    </xf>
    <xf numFmtId="165" fontId="24" fillId="35" borderId="17" xfId="79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vertical="center"/>
      <protection/>
    </xf>
    <xf numFmtId="165" fontId="26" fillId="42" borderId="22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42" borderId="18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5" fontId="26" fillId="35" borderId="20" xfId="79" applyFont="1" applyFill="1" applyBorder="1" applyAlignment="1" applyProtection="1">
      <alignment/>
      <protection/>
    </xf>
    <xf numFmtId="165" fontId="24" fillId="47" borderId="17" xfId="79" applyNumberFormat="1" applyFont="1" applyFill="1" applyBorder="1" applyAlignment="1" applyProtection="1">
      <alignment/>
      <protection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2" borderId="12" xfId="0" applyNumberFormat="1" applyFont="1" applyFill="1" applyBorder="1" applyAlignment="1" applyProtection="1">
      <alignment/>
      <protection/>
    </xf>
    <xf numFmtId="165" fontId="26" fillId="42" borderId="25" xfId="79" applyFont="1" applyFill="1" applyBorder="1" applyAlignment="1" applyProtection="1">
      <alignment/>
      <protection/>
    </xf>
    <xf numFmtId="167" fontId="24" fillId="0" borderId="15" xfId="0" applyNumberFormat="1" applyFont="1" applyFill="1" applyBorder="1" applyAlignment="1" applyProtection="1">
      <alignment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42" borderId="0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0" fontId="26" fillId="42" borderId="0" xfId="0" applyFont="1" applyFill="1" applyAlignment="1" applyProtection="1">
      <alignment/>
      <protection/>
    </xf>
    <xf numFmtId="0" fontId="26" fillId="42" borderId="12" xfId="0" applyNumberFormat="1" applyFont="1" applyFill="1" applyBorder="1" applyAlignment="1" applyProtection="1">
      <alignment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 wrapText="1"/>
      <protection/>
    </xf>
    <xf numFmtId="0" fontId="26" fillId="42" borderId="19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Alignment="1" applyProtection="1">
      <alignment vertical="center"/>
      <protection/>
    </xf>
    <xf numFmtId="165" fontId="24" fillId="35" borderId="16" xfId="79" applyFont="1" applyFill="1" applyBorder="1" applyAlignment="1" applyProtection="1">
      <alignment vertical="center" wrapText="1"/>
      <protection/>
    </xf>
    <xf numFmtId="165" fontId="24" fillId="35" borderId="16" xfId="79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65" fontId="24" fillId="42" borderId="16" xfId="79" applyNumberFormat="1" applyFont="1" applyFill="1" applyBorder="1" applyAlignment="1" applyProtection="1">
      <alignment vertical="center" wrapText="1"/>
      <protection locked="0"/>
    </xf>
    <xf numFmtId="165" fontId="24" fillId="42" borderId="16" xfId="79" applyFont="1" applyFill="1" applyBorder="1" applyAlignment="1" applyProtection="1">
      <alignment vertical="center" wrapText="1"/>
      <protection locked="0"/>
    </xf>
    <xf numFmtId="49" fontId="26" fillId="35" borderId="0" xfId="0" applyNumberFormat="1" applyFont="1" applyFill="1" applyAlignment="1" applyProtection="1">
      <alignment vertical="center"/>
      <protection/>
    </xf>
    <xf numFmtId="165" fontId="24" fillId="35" borderId="17" xfId="79" applyFont="1" applyFill="1" applyBorder="1" applyAlignment="1" applyProtection="1">
      <alignment vertical="center" wrapText="1"/>
      <protection/>
    </xf>
    <xf numFmtId="49" fontId="24" fillId="38" borderId="0" xfId="0" applyNumberFormat="1" applyFont="1" applyFill="1" applyAlignment="1" applyProtection="1">
      <alignment vertical="center"/>
      <protection/>
    </xf>
    <xf numFmtId="165" fontId="24" fillId="38" borderId="17" xfId="79" applyFont="1" applyFill="1" applyBorder="1" applyAlignment="1" applyProtection="1">
      <alignment vertical="center" wrapText="1"/>
      <protection/>
    </xf>
    <xf numFmtId="165" fontId="24" fillId="38" borderId="16" xfId="79" applyNumberFormat="1" applyFont="1" applyFill="1" applyBorder="1" applyAlignment="1" applyProtection="1">
      <alignment vertical="center" wrapText="1"/>
      <protection/>
    </xf>
    <xf numFmtId="165" fontId="24" fillId="42" borderId="17" xfId="79" applyFont="1" applyFill="1" applyBorder="1" applyAlignment="1" applyProtection="1">
      <alignment vertical="center" wrapText="1"/>
      <protection locked="0"/>
    </xf>
    <xf numFmtId="49" fontId="26" fillId="42" borderId="12" xfId="0" applyNumberFormat="1" applyFont="1" applyFill="1" applyBorder="1" applyAlignment="1" applyProtection="1">
      <alignment vertical="center"/>
      <protection/>
    </xf>
    <xf numFmtId="165" fontId="24" fillId="42" borderId="22" xfId="79" applyFont="1" applyFill="1" applyBorder="1" applyAlignment="1" applyProtection="1">
      <alignment vertical="center" wrapText="1"/>
      <protection/>
    </xf>
    <xf numFmtId="165" fontId="24" fillId="42" borderId="22" xfId="79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49" fontId="26" fillId="42" borderId="11" xfId="0" applyNumberFormat="1" applyFont="1" applyFill="1" applyBorder="1" applyAlignment="1" applyProtection="1">
      <alignment horizontal="justify" vertical="center"/>
      <protection/>
    </xf>
    <xf numFmtId="165" fontId="24" fillId="42" borderId="18" xfId="79" applyFont="1" applyFill="1" applyBorder="1" applyAlignment="1" applyProtection="1">
      <alignment vertical="center" wrapText="1"/>
      <protection/>
    </xf>
    <xf numFmtId="0" fontId="24" fillId="45" borderId="22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5" fontId="24" fillId="0" borderId="0" xfId="79" applyFont="1" applyFill="1" applyBorder="1" applyAlignment="1" applyProtection="1">
      <alignment horizontal="center" vertical="center"/>
      <protection/>
    </xf>
    <xf numFmtId="165" fontId="24" fillId="0" borderId="0" xfId="79" applyFont="1" applyFill="1" applyBorder="1" applyAlignment="1" applyProtection="1">
      <alignment horizontal="center" vertical="center" wrapText="1"/>
      <protection/>
    </xf>
    <xf numFmtId="165" fontId="24" fillId="0" borderId="0" xfId="79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22" xfId="0" applyNumberFormat="1" applyFont="1" applyFill="1" applyBorder="1" applyAlignment="1" applyProtection="1">
      <alignment horizontal="justify" vertical="center"/>
      <protection/>
    </xf>
    <xf numFmtId="0" fontId="27" fillId="42" borderId="25" xfId="0" applyFont="1" applyFill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24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65" fontId="24" fillId="0" borderId="17" xfId="79" applyFont="1" applyFill="1" applyBorder="1" applyAlignment="1" applyProtection="1">
      <alignment vertical="center" wrapText="1"/>
      <protection/>
    </xf>
    <xf numFmtId="165" fontId="24" fillId="0" borderId="21" xfId="79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vertical="center"/>
      <protection/>
    </xf>
    <xf numFmtId="165" fontId="24" fillId="42" borderId="17" xfId="79" applyNumberFormat="1" applyFont="1" applyFill="1" applyBorder="1" applyAlignment="1" applyProtection="1">
      <alignment vertical="center" wrapText="1"/>
      <protection locked="0"/>
    </xf>
    <xf numFmtId="49" fontId="26" fillId="0" borderId="13" xfId="0" applyNumberFormat="1" applyFont="1" applyFill="1" applyBorder="1" applyAlignment="1" applyProtection="1">
      <alignment vertical="center"/>
      <protection/>
    </xf>
    <xf numFmtId="165" fontId="24" fillId="0" borderId="16" xfId="79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Fill="1" applyBorder="1" applyAlignment="1" applyProtection="1">
      <alignment vertical="center"/>
      <protection/>
    </xf>
    <xf numFmtId="165" fontId="24" fillId="42" borderId="19" xfId="79" applyFont="1" applyFill="1" applyBorder="1" applyAlignment="1" applyProtection="1">
      <alignment vertical="center" wrapText="1"/>
      <protection locked="0"/>
    </xf>
    <xf numFmtId="165" fontId="24" fillId="42" borderId="19" xfId="79" applyFont="1" applyFill="1" applyBorder="1" applyAlignment="1" applyProtection="1">
      <alignment/>
      <protection locked="0"/>
    </xf>
    <xf numFmtId="165" fontId="24" fillId="42" borderId="18" xfId="79" applyNumberFormat="1" applyFont="1" applyFill="1" applyBorder="1" applyAlignment="1" applyProtection="1">
      <alignment/>
      <protection locked="0"/>
    </xf>
    <xf numFmtId="49" fontId="26" fillId="42" borderId="22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65" fontId="24" fillId="0" borderId="0" xfId="79" applyFont="1" applyFill="1" applyBorder="1" applyAlignment="1" applyProtection="1">
      <alignment horizontal="center"/>
      <protection/>
    </xf>
    <xf numFmtId="165" fontId="24" fillId="45" borderId="22" xfId="79" applyFont="1" applyFill="1" applyBorder="1" applyAlignment="1" applyProtection="1">
      <alignment vertical="center" wrapText="1"/>
      <protection/>
    </xf>
    <xf numFmtId="49" fontId="24" fillId="0" borderId="15" xfId="0" applyNumberFormat="1" applyFont="1" applyFill="1" applyBorder="1" applyAlignment="1" applyProtection="1">
      <alignment vertical="center"/>
      <protection/>
    </xf>
    <xf numFmtId="0" fontId="38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42" borderId="23" xfId="0" applyFont="1" applyFill="1" applyBorder="1" applyAlignment="1" applyProtection="1">
      <alignment vertical="center"/>
      <protection/>
    </xf>
    <xf numFmtId="0" fontId="24" fillId="42" borderId="25" xfId="0" applyFont="1" applyFill="1" applyBorder="1" applyAlignment="1" applyProtection="1">
      <alignment horizontal="center" vertical="center" wrapText="1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24" fillId="42" borderId="11" xfId="0" applyFont="1" applyFill="1" applyBorder="1" applyAlignment="1" applyProtection="1">
      <alignment horizontal="center" vertical="center" wrapText="1"/>
      <protection/>
    </xf>
    <xf numFmtId="0" fontId="27" fillId="42" borderId="13" xfId="0" applyFont="1" applyFill="1" applyBorder="1" applyAlignment="1" applyProtection="1">
      <alignment horizontal="center" vertical="center"/>
      <protection/>
    </xf>
    <xf numFmtId="0" fontId="24" fillId="42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24" fillId="42" borderId="25" xfId="0" applyFont="1" applyFill="1" applyBorder="1" applyAlignment="1" applyProtection="1">
      <alignment horizontal="center" vertic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42" borderId="20" xfId="0" applyFont="1" applyFill="1" applyBorder="1" applyAlignment="1" applyProtection="1">
      <alignment horizontal="center"/>
      <protection/>
    </xf>
    <xf numFmtId="0" fontId="24" fillId="42" borderId="24" xfId="0" applyFont="1" applyFill="1" applyBorder="1" applyAlignment="1" applyProtection="1">
      <alignment horizontal="center"/>
      <protection/>
    </xf>
    <xf numFmtId="0" fontId="24" fillId="42" borderId="23" xfId="0" applyFont="1" applyFill="1" applyBorder="1" applyAlignment="1" applyProtection="1">
      <alignment horizontal="center"/>
      <protection/>
    </xf>
    <xf numFmtId="0" fontId="24" fillId="42" borderId="19" xfId="0" applyNumberFormat="1" applyFont="1" applyFill="1" applyBorder="1" applyAlignment="1" applyProtection="1">
      <alignment horizontal="center" vertical="center"/>
      <protection/>
    </xf>
    <xf numFmtId="0" fontId="24" fillId="42" borderId="15" xfId="0" applyNumberFormat="1" applyFont="1" applyFill="1" applyBorder="1" applyAlignment="1" applyProtection="1">
      <alignment horizontal="center" vertical="center"/>
      <protection/>
    </xf>
    <xf numFmtId="0" fontId="24" fillId="42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67" fontId="24" fillId="0" borderId="0" xfId="0" applyNumberFormat="1" applyFont="1" applyBorder="1" applyAlignment="1">
      <alignment horizontal="right"/>
    </xf>
    <xf numFmtId="0" fontId="24" fillId="48" borderId="21" xfId="0" applyFont="1" applyFill="1" applyBorder="1" applyAlignment="1">
      <alignment vertical="center"/>
    </xf>
    <xf numFmtId="0" fontId="24" fillId="48" borderId="22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168" fontId="24" fillId="47" borderId="21" xfId="0" applyNumberFormat="1" applyFont="1" applyFill="1" applyBorder="1" applyAlignment="1">
      <alignment/>
    </xf>
    <xf numFmtId="40" fontId="24" fillId="47" borderId="21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/>
    </xf>
    <xf numFmtId="40" fontId="24" fillId="43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40" fontId="24" fillId="22" borderId="16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0" fontId="24" fillId="47" borderId="16" xfId="0" applyNumberFormat="1" applyFont="1" applyFill="1" applyBorder="1" applyAlignment="1">
      <alignment horizontal="right"/>
    </xf>
    <xf numFmtId="40" fontId="26" fillId="43" borderId="16" xfId="0" applyNumberFormat="1" applyFont="1" applyFill="1" applyBorder="1" applyAlignment="1">
      <alignment horizontal="right" vertical="center"/>
    </xf>
    <xf numFmtId="40" fontId="26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47" borderId="17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/>
    </xf>
    <xf numFmtId="0" fontId="26" fillId="48" borderId="22" xfId="0" applyFont="1" applyFill="1" applyBorder="1" applyAlignment="1">
      <alignment/>
    </xf>
    <xf numFmtId="169" fontId="26" fillId="48" borderId="18" xfId="0" applyNumberFormat="1" applyFont="1" applyFill="1" applyBorder="1" applyAlignment="1">
      <alignment/>
    </xf>
    <xf numFmtId="168" fontId="26" fillId="48" borderId="12" xfId="0" applyNumberFormat="1" applyFont="1" applyFill="1" applyBorder="1" applyAlignment="1">
      <alignment horizontal="center"/>
    </xf>
    <xf numFmtId="168" fontId="26" fillId="48" borderId="12" xfId="0" applyNumberFormat="1" applyFont="1" applyFill="1" applyBorder="1" applyAlignment="1">
      <alignment/>
    </xf>
    <xf numFmtId="0" fontId="26" fillId="48" borderId="12" xfId="0" applyFont="1" applyFill="1" applyBorder="1" applyAlignment="1">
      <alignment/>
    </xf>
    <xf numFmtId="40" fontId="26" fillId="48" borderId="11" xfId="0" applyNumberFormat="1" applyFont="1" applyFill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 wrapText="1"/>
    </xf>
    <xf numFmtId="0" fontId="24" fillId="48" borderId="26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 wrapText="1"/>
    </xf>
    <xf numFmtId="40" fontId="24" fillId="47" borderId="16" xfId="0" applyNumberFormat="1" applyFont="1" applyFill="1" applyBorder="1" applyAlignment="1">
      <alignment vertical="center" wrapText="1"/>
    </xf>
    <xf numFmtId="40" fontId="24" fillId="47" borderId="17" xfId="0" applyNumberFormat="1" applyFont="1" applyFill="1" applyBorder="1" applyAlignment="1">
      <alignment vertical="center"/>
    </xf>
    <xf numFmtId="40" fontId="24" fillId="47" borderId="16" xfId="0" applyNumberFormat="1" applyFont="1" applyFill="1" applyBorder="1" applyAlignment="1">
      <alignment vertical="center"/>
    </xf>
    <xf numFmtId="40" fontId="24" fillId="47" borderId="0" xfId="0" applyNumberFormat="1" applyFont="1" applyFill="1" applyBorder="1" applyAlignment="1">
      <alignment horizontal="center" vertical="center"/>
    </xf>
    <xf numFmtId="40" fontId="24" fillId="47" borderId="21" xfId="0" applyNumberFormat="1" applyFont="1" applyFill="1" applyBorder="1" applyAlignment="1">
      <alignment horizontal="center" vertical="center"/>
    </xf>
    <xf numFmtId="40" fontId="24" fillId="47" borderId="13" xfId="0" applyNumberFormat="1" applyFont="1" applyFill="1" applyBorder="1" applyAlignment="1">
      <alignment horizontal="right" vertical="center"/>
    </xf>
    <xf numFmtId="40" fontId="24" fillId="22" borderId="16" xfId="0" applyNumberFormat="1" applyFont="1" applyFill="1" applyBorder="1" applyAlignment="1" applyProtection="1">
      <alignment vertical="center" wrapText="1"/>
      <protection locked="0"/>
    </xf>
    <xf numFmtId="40" fontId="24" fillId="22" borderId="17" xfId="0" applyNumberFormat="1" applyFont="1" applyFill="1" applyBorder="1" applyAlignment="1" applyProtection="1">
      <alignment vertical="center"/>
      <protection locked="0"/>
    </xf>
    <xf numFmtId="40" fontId="24" fillId="22" borderId="16" xfId="0" applyNumberFormat="1" applyFont="1" applyFill="1" applyBorder="1" applyAlignment="1" applyProtection="1">
      <alignment vertical="center"/>
      <protection locked="0"/>
    </xf>
    <xf numFmtId="40" fontId="24" fillId="22" borderId="0" xfId="0" applyNumberFormat="1" applyFont="1" applyFill="1" applyBorder="1" applyAlignment="1" applyProtection="1">
      <alignment horizontal="right" vertical="center"/>
      <protection locked="0"/>
    </xf>
    <xf numFmtId="40" fontId="24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22" borderId="13" xfId="0" applyNumberFormat="1" applyFont="1" applyFill="1" applyBorder="1" applyAlignment="1" applyProtection="1">
      <alignment horizontal="right" vertical="center"/>
      <protection locked="0"/>
    </xf>
    <xf numFmtId="40" fontId="24" fillId="22" borderId="17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vertical="center" wrapText="1"/>
    </xf>
    <xf numFmtId="40" fontId="24" fillId="43" borderId="16" xfId="0" applyNumberFormat="1" applyFont="1" applyFill="1" applyBorder="1" applyAlignment="1">
      <alignment vertical="center"/>
    </xf>
    <xf numFmtId="40" fontId="24" fillId="49" borderId="16" xfId="0" applyNumberFormat="1" applyFont="1" applyFill="1" applyBorder="1" applyAlignment="1" applyProtection="1">
      <alignment vertical="center"/>
      <protection locked="0"/>
    </xf>
    <xf numFmtId="40" fontId="24" fillId="50" borderId="17" xfId="0" applyNumberFormat="1" applyFont="1" applyFill="1" applyBorder="1" applyAlignment="1" applyProtection="1">
      <alignment horizontal="right" vertical="center"/>
      <protection locked="0"/>
    </xf>
    <xf numFmtId="40" fontId="24" fillId="50" borderId="16" xfId="0" applyNumberFormat="1" applyFont="1" applyFill="1" applyBorder="1" applyAlignment="1" applyProtection="1">
      <alignment horizontal="right" vertical="center"/>
      <protection locked="0"/>
    </xf>
    <xf numFmtId="40" fontId="24" fillId="50" borderId="0" xfId="0" applyNumberFormat="1" applyFont="1" applyFill="1" applyBorder="1" applyAlignment="1" applyProtection="1">
      <alignment horizontal="right" vertical="center"/>
      <protection locked="0"/>
    </xf>
    <xf numFmtId="0" fontId="24" fillId="48" borderId="25" xfId="0" applyFont="1" applyFill="1" applyBorder="1" applyAlignment="1">
      <alignment/>
    </xf>
    <xf numFmtId="40" fontId="24" fillId="43" borderId="22" xfId="0" applyNumberFormat="1" applyFont="1" applyFill="1" applyBorder="1" applyAlignment="1">
      <alignment vertical="center"/>
    </xf>
    <xf numFmtId="0" fontId="26" fillId="0" borderId="25" xfId="0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48" borderId="25" xfId="0" applyFont="1" applyFill="1" applyBorder="1" applyAlignment="1">
      <alignment/>
    </xf>
    <xf numFmtId="0" fontId="26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168" fontId="24" fillId="0" borderId="0" xfId="0" applyNumberFormat="1" applyFont="1" applyBorder="1" applyAlignment="1" applyProtection="1">
      <alignment horizontal="center" vertical="center"/>
      <protection locked="0"/>
    </xf>
    <xf numFmtId="0" fontId="26" fillId="48" borderId="21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6" fillId="48" borderId="22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48" borderId="20" xfId="0" applyFont="1" applyFill="1" applyBorder="1" applyAlignment="1">
      <alignment vertical="center"/>
    </xf>
    <xf numFmtId="0" fontId="26" fillId="48" borderId="17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vertical="center"/>
    </xf>
    <xf numFmtId="0" fontId="24" fillId="0" borderId="21" xfId="0" applyFont="1" applyBorder="1" applyAlignment="1">
      <alignment/>
    </xf>
    <xf numFmtId="0" fontId="26" fillId="48" borderId="22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Border="1" applyAlignment="1">
      <alignment wrapText="1"/>
    </xf>
    <xf numFmtId="0" fontId="24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/>
    </xf>
    <xf numFmtId="0" fontId="24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/>
    </xf>
    <xf numFmtId="40" fontId="24" fillId="48" borderId="22" xfId="0" applyNumberFormat="1" applyFont="1" applyFill="1" applyBorder="1" applyAlignment="1" applyProtection="1">
      <alignment vertical="center"/>
      <protection locked="0"/>
    </xf>
    <xf numFmtId="40" fontId="24" fillId="48" borderId="25" xfId="0" applyNumberFormat="1" applyFont="1" applyFill="1" applyBorder="1" applyAlignment="1" applyProtection="1">
      <alignment vertical="center"/>
      <protection locked="0"/>
    </xf>
    <xf numFmtId="40" fontId="26" fillId="22" borderId="25" xfId="0" applyNumberFormat="1" applyFont="1" applyFill="1" applyBorder="1" applyAlignment="1" applyProtection="1">
      <alignment horizontal="right" vertical="center"/>
      <protection/>
    </xf>
    <xf numFmtId="171" fontId="24" fillId="48" borderId="25" xfId="0" applyNumberFormat="1" applyFont="1" applyFill="1" applyBorder="1" applyAlignment="1" applyProtection="1">
      <alignment horizontal="right" vertical="center"/>
      <protection locked="0"/>
    </xf>
    <xf numFmtId="171" fontId="24" fillId="51" borderId="25" xfId="0" applyNumberFormat="1" applyFont="1" applyFill="1" applyBorder="1" applyAlignment="1" applyProtection="1">
      <alignment horizontal="right" vertical="center"/>
      <protection locked="0"/>
    </xf>
    <xf numFmtId="171" fontId="24" fillId="51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48" borderId="16" xfId="0" applyFont="1" applyFill="1" applyBorder="1" applyAlignment="1">
      <alignment vertical="center"/>
    </xf>
    <xf numFmtId="0" fontId="24" fillId="48" borderId="17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13" xfId="0" applyFont="1" applyFill="1" applyBorder="1" applyAlignment="1">
      <alignment horizontal="center"/>
    </xf>
    <xf numFmtId="0" fontId="24" fillId="48" borderId="15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6" fillId="42" borderId="27" xfId="72" applyFont="1" applyFill="1" applyBorder="1" applyAlignment="1" applyProtection="1">
      <alignment horizontal="center"/>
      <protection/>
    </xf>
    <xf numFmtId="0" fontId="26" fillId="42" borderId="18" xfId="72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65" fontId="24" fillId="42" borderId="25" xfId="79" applyFont="1" applyFill="1" applyBorder="1" applyAlignment="1" applyProtection="1">
      <alignment/>
      <protection/>
    </xf>
    <xf numFmtId="165" fontId="24" fillId="42" borderId="22" xfId="79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6" fillId="0" borderId="0" xfId="72" applyFont="1" applyFill="1" applyAlignment="1" applyProtection="1">
      <alignment/>
      <protection/>
    </xf>
    <xf numFmtId="0" fontId="24" fillId="0" borderId="0" xfId="72" applyFont="1" applyFill="1" applyAlignment="1" applyProtection="1">
      <alignment/>
      <protection/>
    </xf>
    <xf numFmtId="0" fontId="33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72" applyFont="1" applyFill="1" applyAlignment="1" applyProtection="1">
      <alignment horizontal="center"/>
      <protection/>
    </xf>
    <xf numFmtId="167" fontId="24" fillId="0" borderId="0" xfId="72" applyNumberFormat="1" applyFont="1" applyFill="1" applyAlignment="1" applyProtection="1">
      <alignment horizontal="right"/>
      <protection/>
    </xf>
    <xf numFmtId="0" fontId="24" fillId="42" borderId="23" xfId="72" applyFont="1" applyFill="1" applyBorder="1" applyAlignment="1" applyProtection="1">
      <alignment/>
      <protection/>
    </xf>
    <xf numFmtId="0" fontId="24" fillId="42" borderId="13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24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4" fillId="42" borderId="14" xfId="72" applyFont="1" applyFill="1" applyBorder="1" applyAlignment="1" applyProtection="1">
      <alignment/>
      <protection/>
    </xf>
    <xf numFmtId="0" fontId="24" fillId="42" borderId="18" xfId="72" applyFont="1" applyFill="1" applyBorder="1" applyAlignment="1" applyProtection="1">
      <alignment horizontal="center"/>
      <protection/>
    </xf>
    <xf numFmtId="0" fontId="24" fillId="42" borderId="15" xfId="72" applyFont="1" applyFill="1" applyBorder="1" applyAlignment="1" applyProtection="1">
      <alignment horizontal="center"/>
      <protection/>
    </xf>
    <xf numFmtId="0" fontId="26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13" xfId="72" applyFont="1" applyBorder="1" applyAlignment="1" applyProtection="1">
      <alignment horizontal="left" vertical="top" wrapText="1"/>
      <protection/>
    </xf>
    <xf numFmtId="0" fontId="28" fillId="0" borderId="13" xfId="72" applyFont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0" fontId="24" fillId="0" borderId="25" xfId="77" applyNumberFormat="1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wrapText="1"/>
      <protection/>
    </xf>
    <xf numFmtId="0" fontId="24" fillId="0" borderId="13" xfId="72" applyFont="1" applyBorder="1" applyAlignment="1" applyProtection="1">
      <alignment horizontal="justify" vertical="top" wrapText="1"/>
      <protection/>
    </xf>
    <xf numFmtId="0" fontId="28" fillId="0" borderId="13" xfId="72" applyFont="1" applyBorder="1" applyAlignment="1" applyProtection="1">
      <alignment horizontal="justify" vertical="top" wrapText="1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42" borderId="13" xfId="72" applyFont="1" applyFill="1" applyBorder="1" applyAlignment="1" applyProtection="1">
      <alignment/>
      <protection/>
    </xf>
    <xf numFmtId="0" fontId="24" fillId="0" borderId="23" xfId="72" applyFont="1" applyBorder="1" applyAlignment="1" applyProtection="1">
      <alignment horizontal="left" vertical="top" wrapText="1"/>
      <protection/>
    </xf>
    <xf numFmtId="10" fontId="24" fillId="0" borderId="20" xfId="77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 vertical="center"/>
      <protection/>
    </xf>
    <xf numFmtId="0" fontId="24" fillId="0" borderId="0" xfId="73" applyFont="1" applyFill="1" applyBorder="1" applyAlignment="1" applyProtection="1">
      <alignment horizontal="center" wrapText="1"/>
      <protection/>
    </xf>
    <xf numFmtId="0" fontId="24" fillId="0" borderId="0" xfId="73" applyFont="1" applyFill="1" applyBorder="1" applyAlignment="1" applyProtection="1">
      <alignment horizontal="center"/>
      <protection/>
    </xf>
    <xf numFmtId="0" fontId="24" fillId="42" borderId="19" xfId="73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5" fontId="24" fillId="0" borderId="21" xfId="79" applyFont="1" applyFill="1" applyBorder="1" applyAlignment="1" applyProtection="1">
      <alignment horizontal="left" vertical="top" wrapText="1"/>
      <protection/>
    </xf>
    <xf numFmtId="10" fontId="24" fillId="0" borderId="24" xfId="77" applyNumberFormat="1" applyFont="1" applyFill="1" applyBorder="1" applyAlignment="1" applyProtection="1">
      <alignment/>
      <protection/>
    </xf>
    <xf numFmtId="165" fontId="24" fillId="0" borderId="20" xfId="79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165" fontId="24" fillId="42" borderId="16" xfId="79" applyNumberFormat="1" applyFont="1" applyFill="1" applyBorder="1" applyAlignment="1" applyProtection="1">
      <alignment horizontal="left" vertical="top" wrapText="1"/>
      <protection locked="0"/>
    </xf>
    <xf numFmtId="10" fontId="24" fillId="0" borderId="0" xfId="77" applyNumberFormat="1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 horizontal="left" vertical="top" wrapText="1"/>
      <protection locked="0"/>
    </xf>
    <xf numFmtId="165" fontId="24" fillId="0" borderId="16" xfId="79" applyFont="1" applyFill="1" applyBorder="1" applyAlignment="1" applyProtection="1">
      <alignment horizontal="left" vertical="top" wrapText="1"/>
      <protection/>
    </xf>
    <xf numFmtId="165" fontId="24" fillId="0" borderId="17" xfId="79" applyFont="1" applyFill="1" applyBorder="1" applyAlignment="1" applyProtection="1">
      <alignment horizontal="left" vertical="top" wrapText="1"/>
      <protection/>
    </xf>
    <xf numFmtId="0" fontId="24" fillId="0" borderId="15" xfId="72" applyFont="1" applyBorder="1" applyAlignment="1" applyProtection="1">
      <alignment horizontal="left" vertical="top" wrapText="1"/>
      <protection/>
    </xf>
    <xf numFmtId="165" fontId="24" fillId="42" borderId="18" xfId="79" applyNumberFormat="1" applyFont="1" applyFill="1" applyBorder="1" applyAlignment="1" applyProtection="1">
      <alignment horizontal="left" vertical="top" wrapText="1"/>
      <protection locked="0"/>
    </xf>
    <xf numFmtId="10" fontId="24" fillId="0" borderId="15" xfId="77" applyNumberFormat="1" applyFont="1" applyFill="1" applyBorder="1" applyAlignment="1" applyProtection="1">
      <alignment/>
      <protection/>
    </xf>
    <xf numFmtId="165" fontId="24" fillId="42" borderId="19" xfId="79" applyFont="1" applyFill="1" applyBorder="1" applyAlignment="1" applyProtection="1">
      <alignment horizontal="left" vertical="top" wrapText="1"/>
      <protection locked="0"/>
    </xf>
    <xf numFmtId="0" fontId="24" fillId="0" borderId="14" xfId="72" applyFont="1" applyBorder="1" applyAlignment="1" applyProtection="1">
      <alignment horizontal="left" vertical="top" wrapText="1"/>
      <protection/>
    </xf>
    <xf numFmtId="165" fontId="24" fillId="0" borderId="18" xfId="72" applyNumberFormat="1" applyFont="1" applyBorder="1" applyAlignment="1" applyProtection="1">
      <alignment horizontal="left" vertical="top" wrapText="1"/>
      <protection/>
    </xf>
    <xf numFmtId="165" fontId="24" fillId="0" borderId="19" xfId="72" applyNumberFormat="1" applyFont="1" applyBorder="1" applyAlignment="1" applyProtection="1">
      <alignment horizontal="left" vertical="top" wrapText="1"/>
      <protection/>
    </xf>
    <xf numFmtId="0" fontId="24" fillId="0" borderId="0" xfId="72" applyFont="1" applyFill="1" applyAlignment="1" applyProtection="1">
      <alignment vertical="center"/>
      <protection/>
    </xf>
    <xf numFmtId="0" fontId="33" fillId="0" borderId="0" xfId="72" applyFont="1" applyFill="1" applyAlignment="1" applyProtection="1">
      <alignment vertical="center"/>
      <protection/>
    </xf>
    <xf numFmtId="0" fontId="24" fillId="0" borderId="24" xfId="72" applyFont="1" applyBorder="1" applyAlignment="1" applyProtection="1">
      <alignment vertical="top" wrapText="1"/>
      <protection/>
    </xf>
    <xf numFmtId="0" fontId="24" fillId="0" borderId="23" xfId="72" applyFont="1" applyBorder="1" applyAlignment="1" applyProtection="1">
      <alignment vertical="top" wrapText="1"/>
      <protection/>
    </xf>
    <xf numFmtId="0" fontId="24" fillId="0" borderId="0" xfId="72" applyFont="1" applyBorder="1" applyAlignment="1" applyProtection="1">
      <alignment vertical="top" wrapText="1"/>
      <protection/>
    </xf>
    <xf numFmtId="0" fontId="24" fillId="0" borderId="13" xfId="72" applyFont="1" applyBorder="1" applyAlignment="1" applyProtection="1">
      <alignment vertical="top" wrapText="1"/>
      <protection/>
    </xf>
    <xf numFmtId="0" fontId="24" fillId="0" borderId="15" xfId="72" applyFont="1" applyBorder="1" applyAlignment="1" applyProtection="1">
      <alignment vertical="top" wrapText="1"/>
      <protection/>
    </xf>
    <xf numFmtId="0" fontId="24" fillId="0" borderId="14" xfId="72" applyFont="1" applyBorder="1" applyAlignment="1" applyProtection="1">
      <alignment vertical="top" wrapText="1"/>
      <protection/>
    </xf>
    <xf numFmtId="0" fontId="24" fillId="0" borderId="12" xfId="72" applyFont="1" applyBorder="1" applyAlignment="1" applyProtection="1">
      <alignment vertical="top" wrapText="1"/>
      <protection/>
    </xf>
    <xf numFmtId="0" fontId="24" fillId="0" borderId="11" xfId="72" applyFont="1" applyBorder="1" applyAlignment="1" applyProtection="1">
      <alignment vertical="top" wrapText="1"/>
      <protection/>
    </xf>
    <xf numFmtId="0" fontId="24" fillId="0" borderId="0" xfId="72" applyFont="1" applyFill="1" applyBorder="1" applyAlignment="1" applyProtection="1">
      <alignment vertical="top"/>
      <protection/>
    </xf>
    <xf numFmtId="0" fontId="24" fillId="0" borderId="13" xfId="72" applyFont="1" applyFill="1" applyBorder="1" applyAlignment="1" applyProtection="1">
      <alignment vertical="top"/>
      <protection/>
    </xf>
    <xf numFmtId="0" fontId="24" fillId="0" borderId="0" xfId="72" applyFont="1" applyBorder="1" applyAlignment="1" applyProtection="1">
      <alignment vertical="top"/>
      <protection/>
    </xf>
    <xf numFmtId="0" fontId="24" fillId="0" borderId="13" xfId="72" applyFont="1" applyBorder="1" applyAlignment="1" applyProtection="1">
      <alignment vertical="top"/>
      <protection/>
    </xf>
    <xf numFmtId="0" fontId="24" fillId="0" borderId="0" xfId="72" applyFont="1" applyFill="1" applyAlignment="1" applyProtection="1">
      <alignment horizontal="center" vertical="center"/>
      <protection/>
    </xf>
    <xf numFmtId="0" fontId="33" fillId="0" borderId="0" xfId="72" applyFont="1" applyFill="1" applyAlignment="1" applyProtection="1">
      <alignment horizontal="center" vertical="center"/>
      <protection/>
    </xf>
    <xf numFmtId="165" fontId="24" fillId="0" borderId="21" xfId="72" applyNumberFormat="1" applyFont="1" applyFill="1" applyBorder="1" applyAlignment="1" applyProtection="1">
      <alignment horizontal="left" vertical="top" wrapText="1"/>
      <protection/>
    </xf>
    <xf numFmtId="165" fontId="24" fillId="0" borderId="20" xfId="72" applyNumberFormat="1" applyFont="1" applyFill="1" applyBorder="1" applyAlignment="1" applyProtection="1">
      <alignment horizontal="left" vertical="top" wrapText="1"/>
      <protection/>
    </xf>
    <xf numFmtId="10" fontId="24" fillId="0" borderId="21" xfId="77" applyNumberFormat="1" applyFont="1" applyFill="1" applyBorder="1" applyAlignment="1" applyProtection="1">
      <alignment/>
      <protection/>
    </xf>
    <xf numFmtId="165" fontId="24" fillId="0" borderId="23" xfId="72" applyNumberFormat="1" applyFont="1" applyFill="1" applyBorder="1" applyAlignment="1" applyProtection="1">
      <alignment horizontal="left" vertical="top" wrapText="1"/>
      <protection/>
    </xf>
    <xf numFmtId="165" fontId="24" fillId="0" borderId="13" xfId="79" applyFont="1" applyFill="1" applyBorder="1" applyAlignment="1" applyProtection="1">
      <alignment horizontal="left" vertical="top" wrapText="1"/>
      <protection/>
    </xf>
    <xf numFmtId="165" fontId="24" fillId="42" borderId="17" xfId="79" applyNumberFormat="1" applyFont="1" applyFill="1" applyBorder="1" applyAlignment="1" applyProtection="1">
      <alignment horizontal="left" vertical="top" wrapText="1"/>
      <protection locked="0"/>
    </xf>
    <xf numFmtId="165" fontId="24" fillId="42" borderId="13" xfId="79" applyNumberFormat="1" applyFont="1" applyFill="1" applyBorder="1" applyAlignment="1" applyProtection="1">
      <alignment horizontal="left" vertical="top" wrapText="1"/>
      <protection locked="0"/>
    </xf>
    <xf numFmtId="165" fontId="24" fillId="42" borderId="16" xfId="79" applyFont="1" applyFill="1" applyBorder="1" applyAlignment="1" applyProtection="1">
      <alignment horizontal="left" vertical="top" wrapText="1"/>
      <protection locked="0"/>
    </xf>
    <xf numFmtId="165" fontId="24" fillId="42" borderId="13" xfId="79" applyFont="1" applyFill="1" applyBorder="1" applyAlignment="1" applyProtection="1">
      <alignment horizontal="left" vertical="top" wrapText="1"/>
      <protection locked="0"/>
    </xf>
    <xf numFmtId="10" fontId="24" fillId="0" borderId="18" xfId="77" applyNumberFormat="1" applyFont="1" applyFill="1" applyBorder="1" applyAlignment="1" applyProtection="1">
      <alignment/>
      <protection/>
    </xf>
    <xf numFmtId="165" fontId="24" fillId="0" borderId="11" xfId="72" applyNumberFormat="1" applyFont="1" applyFill="1" applyBorder="1" applyAlignment="1" applyProtection="1">
      <alignment horizontal="left" vertical="top" wrapText="1"/>
      <protection/>
    </xf>
    <xf numFmtId="10" fontId="24" fillId="0" borderId="22" xfId="77" applyNumberFormat="1" applyFont="1" applyFill="1" applyBorder="1" applyAlignment="1" applyProtection="1">
      <alignment/>
      <protection/>
    </xf>
    <xf numFmtId="165" fontId="24" fillId="0" borderId="25" xfId="72" applyNumberFormat="1" applyFont="1" applyFill="1" applyBorder="1" applyAlignment="1" applyProtection="1">
      <alignment horizontal="left" vertical="top" wrapText="1"/>
      <protection/>
    </xf>
    <xf numFmtId="0" fontId="24" fillId="0" borderId="24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vertical="center" wrapText="1"/>
      <protection/>
    </xf>
    <xf numFmtId="0" fontId="24" fillId="0" borderId="13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/>
      <protection/>
    </xf>
    <xf numFmtId="0" fontId="24" fillId="0" borderId="0" xfId="72" applyFont="1" applyFill="1" applyAlignment="1" applyProtection="1">
      <alignment horizontal="left" vertical="center"/>
      <protection/>
    </xf>
    <xf numFmtId="0" fontId="33" fillId="0" borderId="0" xfId="72" applyFont="1" applyFill="1" applyAlignment="1" applyProtection="1">
      <alignment horizontal="left" vertical="center"/>
      <protection/>
    </xf>
    <xf numFmtId="165" fontId="24" fillId="42" borderId="16" xfId="79" applyFont="1" applyFill="1" applyBorder="1" applyAlignment="1" applyProtection="1">
      <alignment vertical="center"/>
      <protection locked="0"/>
    </xf>
    <xf numFmtId="165" fontId="24" fillId="42" borderId="16" xfId="79" applyFont="1" applyFill="1" applyBorder="1" applyAlignment="1" applyProtection="1">
      <alignment horizontal="left" vertical="center" wrapText="1"/>
      <protection locked="0"/>
    </xf>
    <xf numFmtId="165" fontId="24" fillId="42" borderId="20" xfId="79" applyFont="1" applyFill="1" applyBorder="1" applyAlignment="1" applyProtection="1">
      <alignment vertical="center"/>
      <protection locked="0"/>
    </xf>
    <xf numFmtId="0" fontId="24" fillId="0" borderId="0" xfId="72" applyFont="1" applyBorder="1" applyAlignment="1" applyProtection="1">
      <alignment horizontal="left" wrapText="1"/>
      <protection/>
    </xf>
    <xf numFmtId="0" fontId="24" fillId="0" borderId="14" xfId="72" applyFont="1" applyBorder="1" applyAlignment="1" applyProtection="1">
      <alignment horizontal="left" wrapText="1"/>
      <protection/>
    </xf>
    <xf numFmtId="165" fontId="24" fillId="0" borderId="22" xfId="79" applyFont="1" applyFill="1" applyBorder="1" applyAlignment="1" applyProtection="1">
      <alignment vertical="center"/>
      <protection/>
    </xf>
    <xf numFmtId="10" fontId="24" fillId="0" borderId="22" xfId="77" applyNumberFormat="1" applyFont="1" applyFill="1" applyBorder="1" applyAlignment="1" applyProtection="1">
      <alignment vertical="center"/>
      <protection/>
    </xf>
    <xf numFmtId="165" fontId="24" fillId="0" borderId="25" xfId="79" applyFont="1" applyFill="1" applyBorder="1" applyAlignment="1" applyProtection="1">
      <alignment vertical="center"/>
      <protection/>
    </xf>
    <xf numFmtId="165" fontId="24" fillId="0" borderId="11" xfId="72" applyNumberFormat="1" applyFont="1" applyFill="1" applyBorder="1" applyAlignment="1" applyProtection="1">
      <alignment/>
      <protection/>
    </xf>
    <xf numFmtId="165" fontId="24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4" fillId="0" borderId="0" xfId="72" applyNumberFormat="1" applyFont="1" applyFill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15" xfId="72" applyFont="1" applyFill="1" applyBorder="1" applyProtection="1">
      <alignment/>
      <protection/>
    </xf>
    <xf numFmtId="0" fontId="24" fillId="0" borderId="15" xfId="72" applyFont="1" applyFill="1" applyBorder="1" applyAlignment="1" applyProtection="1">
      <alignment horizontal="right"/>
      <protection/>
    </xf>
    <xf numFmtId="0" fontId="26" fillId="0" borderId="0" xfId="72" applyFont="1" applyFill="1" applyBorder="1" applyAlignment="1" applyProtection="1">
      <alignment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4" fillId="42" borderId="23" xfId="72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wrapText="1"/>
      <protection/>
    </xf>
    <xf numFmtId="0" fontId="24" fillId="42" borderId="13" xfId="72" applyFont="1" applyFill="1" applyBorder="1" applyAlignment="1" applyProtection="1">
      <alignment horizontal="center" vertical="center" wrapText="1"/>
      <protection locked="0"/>
    </xf>
    <xf numFmtId="0" fontId="50" fillId="0" borderId="0" xfId="72" applyFont="1" applyFill="1" applyBorder="1" applyAlignment="1" applyProtection="1">
      <alignment/>
      <protection/>
    </xf>
    <xf numFmtId="0" fontId="24" fillId="42" borderId="14" xfId="72" applyFont="1" applyFill="1" applyBorder="1" applyAlignment="1" applyProtection="1">
      <alignment vertical="center" wrapText="1"/>
      <protection/>
    </xf>
    <xf numFmtId="0" fontId="24" fillId="42" borderId="18" xfId="72" applyFont="1" applyFill="1" applyBorder="1" applyAlignment="1" applyProtection="1">
      <alignment horizontal="center" wrapText="1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5" fontId="24" fillId="0" borderId="16" xfId="72" applyNumberFormat="1" applyFont="1" applyFill="1" applyBorder="1" applyAlignment="1" applyProtection="1">
      <alignment/>
      <protection/>
    </xf>
    <xf numFmtId="165" fontId="24" fillId="0" borderId="20" xfId="72" applyNumberFormat="1" applyFont="1" applyFill="1" applyBorder="1" applyAlignment="1" applyProtection="1">
      <alignment/>
      <protection/>
    </xf>
    <xf numFmtId="0" fontId="24" fillId="0" borderId="13" xfId="72" applyFont="1" applyFill="1" applyBorder="1" applyAlignment="1" applyProtection="1">
      <alignment horizontal="left" vertical="top" wrapText="1"/>
      <protection/>
    </xf>
    <xf numFmtId="165" fontId="24" fillId="0" borderId="13" xfId="79" applyFont="1" applyFill="1" applyBorder="1" applyAlignment="1" applyProtection="1">
      <alignment/>
      <protection/>
    </xf>
    <xf numFmtId="165" fontId="0" fillId="42" borderId="17" xfId="79" applyFont="1" applyFill="1" applyBorder="1" applyAlignment="1" applyProtection="1">
      <alignment/>
      <protection locked="0"/>
    </xf>
    <xf numFmtId="165" fontId="0" fillId="42" borderId="0" xfId="79" applyFont="1" applyFill="1" applyBorder="1" applyAlignment="1" applyProtection="1">
      <alignment/>
      <protection locked="0"/>
    </xf>
    <xf numFmtId="165" fontId="0" fillId="42" borderId="19" xfId="79" applyFont="1" applyFill="1" applyBorder="1" applyAlignment="1" applyProtection="1">
      <alignment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5" fontId="0" fillId="0" borderId="22" xfId="72" applyNumberFormat="1" applyFont="1" applyFill="1" applyBorder="1" applyProtection="1">
      <alignment/>
      <protection/>
    </xf>
    <xf numFmtId="165" fontId="0" fillId="0" borderId="25" xfId="72" applyNumberFormat="1" applyFont="1" applyFill="1" applyBorder="1" applyProtection="1">
      <alignment/>
      <protection/>
    </xf>
    <xf numFmtId="0" fontId="51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4" fillId="0" borderId="0" xfId="72" applyFont="1" applyAlignment="1" applyProtection="1">
      <alignment wrapText="1"/>
      <protection/>
    </xf>
    <xf numFmtId="0" fontId="24" fillId="0" borderId="0" xfId="72" applyFont="1" applyAlignment="1" applyProtection="1">
      <alignment horizontal="right" vertical="top" wrapText="1"/>
      <protection/>
    </xf>
    <xf numFmtId="167" fontId="24" fillId="0" borderId="0" xfId="72" applyNumberFormat="1" applyFont="1" applyBorder="1" applyAlignment="1" applyProtection="1">
      <alignment horizontal="right" vertical="top" wrapText="1"/>
      <protection/>
    </xf>
    <xf numFmtId="0" fontId="26" fillId="48" borderId="20" xfId="72" applyFont="1" applyFill="1" applyBorder="1" applyAlignment="1">
      <alignment horizontal="center" vertical="top" wrapText="1"/>
      <protection/>
    </xf>
    <xf numFmtId="0" fontId="26" fillId="48" borderId="21" xfId="72" applyFont="1" applyFill="1" applyBorder="1" applyAlignment="1">
      <alignment horizontal="center" vertical="top" wrapText="1"/>
      <protection/>
    </xf>
    <xf numFmtId="0" fontId="24" fillId="0" borderId="0" xfId="72" applyFont="1" applyBorder="1" applyAlignment="1">
      <alignment wrapText="1"/>
      <protection/>
    </xf>
    <xf numFmtId="0" fontId="24" fillId="0" borderId="0" xfId="72" applyFont="1" applyFill="1" applyAlignment="1">
      <alignment/>
      <protection/>
    </xf>
    <xf numFmtId="0" fontId="26" fillId="48" borderId="19" xfId="72" applyFont="1" applyFill="1" applyBorder="1" applyAlignment="1">
      <alignment horizontal="center" vertical="top" wrapText="1"/>
      <protection/>
    </xf>
    <xf numFmtId="0" fontId="26" fillId="48" borderId="16" xfId="72" applyFont="1" applyFill="1" applyBorder="1" applyAlignment="1">
      <alignment horizontal="center" vertical="top" wrapText="1"/>
      <protection/>
    </xf>
    <xf numFmtId="0" fontId="24" fillId="0" borderId="0" xfId="72" applyFont="1" applyFill="1" applyBorder="1" applyAlignment="1">
      <alignment/>
      <protection/>
    </xf>
    <xf numFmtId="0" fontId="24" fillId="0" borderId="22" xfId="72" applyFont="1" applyBorder="1" applyAlignment="1">
      <alignment horizontal="left" wrapText="1"/>
      <protection/>
    </xf>
    <xf numFmtId="40" fontId="24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2" xfId="72" applyNumberFormat="1" applyFont="1" applyBorder="1" applyAlignment="1">
      <alignment horizontal="right" vertical="top" wrapText="1"/>
      <protection/>
    </xf>
    <xf numFmtId="0" fontId="24" fillId="0" borderId="0" xfId="72" applyFont="1" applyAlignment="1">
      <alignment wrapText="1"/>
      <protection/>
    </xf>
    <xf numFmtId="0" fontId="26" fillId="48" borderId="21" xfId="72" applyFont="1" applyFill="1" applyBorder="1" applyAlignment="1">
      <alignment vertical="top" wrapText="1"/>
      <protection/>
    </xf>
    <xf numFmtId="0" fontId="26" fillId="48" borderId="18" xfId="72" applyFont="1" applyFill="1" applyBorder="1" applyAlignment="1">
      <alignment horizontal="center" vertical="top"/>
      <protection/>
    </xf>
    <xf numFmtId="0" fontId="26" fillId="48" borderId="18" xfId="72" applyFont="1" applyFill="1" applyBorder="1" applyAlignment="1">
      <alignment horizontal="center" vertical="top" wrapText="1"/>
      <protection/>
    </xf>
    <xf numFmtId="40" fontId="24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5" xfId="72" applyNumberFormat="1" applyFont="1" applyBorder="1" applyAlignment="1">
      <alignment horizontal="right" vertical="top" wrapText="1"/>
      <protection/>
    </xf>
    <xf numFmtId="40" fontId="24" fillId="0" borderId="27" xfId="72" applyNumberFormat="1" applyFont="1" applyBorder="1" applyAlignment="1">
      <alignment horizontal="right" vertical="top" wrapText="1"/>
      <protection/>
    </xf>
    <xf numFmtId="0" fontId="27" fillId="48" borderId="21" xfId="72" applyFont="1" applyFill="1" applyBorder="1" applyAlignment="1">
      <alignment horizontal="left" wrapText="1"/>
      <protection/>
    </xf>
    <xf numFmtId="0" fontId="27" fillId="48" borderId="18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15" xfId="0" applyFont="1" applyFill="1" applyBorder="1" applyAlignment="1" applyProtection="1">
      <alignment/>
      <protection/>
    </xf>
    <xf numFmtId="167" fontId="15" fillId="0" borderId="15" xfId="0" applyNumberFormat="1" applyFont="1" applyFill="1" applyBorder="1" applyAlignment="1" applyProtection="1">
      <alignment horizontal="right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165" fontId="15" fillId="0" borderId="21" xfId="79" applyFont="1" applyFill="1" applyBorder="1" applyAlignment="1" applyProtection="1">
      <alignment horizontal="center"/>
      <protection/>
    </xf>
    <xf numFmtId="165" fontId="15" fillId="42" borderId="21" xfId="79" applyFont="1" applyFill="1" applyBorder="1" applyAlignment="1" applyProtection="1">
      <alignment/>
      <protection locked="0"/>
    </xf>
    <xf numFmtId="165" fontId="15" fillId="0" borderId="16" xfId="79" applyFont="1" applyFill="1" applyBorder="1" applyAlignment="1" applyProtection="1">
      <alignment horizontal="center"/>
      <protection/>
    </xf>
    <xf numFmtId="165" fontId="15" fillId="0" borderId="16" xfId="79" applyFont="1" applyFill="1" applyBorder="1" applyAlignment="1" applyProtection="1">
      <alignment/>
      <protection/>
    </xf>
    <xf numFmtId="165" fontId="15" fillId="42" borderId="18" xfId="79" applyFont="1" applyFill="1" applyBorder="1" applyAlignment="1" applyProtection="1">
      <alignment horizontal="center"/>
      <protection locked="0"/>
    </xf>
    <xf numFmtId="165" fontId="15" fillId="0" borderId="18" xfId="79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5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8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7" fontId="15" fillId="0" borderId="0" xfId="72" applyNumberFormat="1" applyFont="1" applyFill="1" applyAlignment="1" applyProtection="1">
      <alignment horizontal="right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0" fontId="15" fillId="0" borderId="23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5" fontId="15" fillId="42" borderId="28" xfId="79" applyFont="1" applyFill="1" applyBorder="1" applyAlignment="1" applyProtection="1">
      <alignment/>
      <protection locked="0"/>
    </xf>
    <xf numFmtId="165" fontId="15" fillId="42" borderId="29" xfId="79" applyFont="1" applyFill="1" applyBorder="1" applyAlignment="1" applyProtection="1">
      <alignment/>
      <protection locked="0"/>
    </xf>
    <xf numFmtId="165" fontId="15" fillId="42" borderId="30" xfId="79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8" fillId="42" borderId="23" xfId="72" applyFont="1" applyFill="1" applyBorder="1" applyAlignment="1" applyProtection="1">
      <alignment horizontal="center" vertical="center" wrapText="1"/>
      <protection/>
    </xf>
    <xf numFmtId="37" fontId="38" fillId="42" borderId="20" xfId="72" applyNumberFormat="1" applyFont="1" applyFill="1" applyBorder="1" applyAlignment="1" applyProtection="1">
      <alignment horizontal="center"/>
      <protection/>
    </xf>
    <xf numFmtId="0" fontId="38" fillId="42" borderId="21" xfId="72" applyFont="1" applyFill="1" applyBorder="1" applyAlignment="1" applyProtection="1">
      <alignment horizontal="center" vertical="top" wrapText="1"/>
      <protection/>
    </xf>
    <xf numFmtId="37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21" xfId="72" applyNumberFormat="1" applyFont="1" applyFill="1" applyBorder="1" applyAlignment="1" applyProtection="1">
      <alignment horizontal="center" vertical="top" wrapText="1"/>
      <protection/>
    </xf>
    <xf numFmtId="37" fontId="38" fillId="42" borderId="23" xfId="72" applyNumberFormat="1" applyFont="1" applyFill="1" applyBorder="1" applyAlignment="1" applyProtection="1">
      <alignment horizontal="center"/>
      <protection/>
    </xf>
    <xf numFmtId="0" fontId="38" fillId="42" borderId="20" xfId="72" applyFont="1" applyFill="1" applyBorder="1" applyAlignment="1" applyProtection="1">
      <alignment horizontal="center"/>
      <protection/>
    </xf>
    <xf numFmtId="0" fontId="38" fillId="42" borderId="13" xfId="72" applyFont="1" applyFill="1" applyBorder="1" applyAlignment="1" applyProtection="1">
      <alignment horizontal="center" vertical="center" wrapText="1"/>
      <protection/>
    </xf>
    <xf numFmtId="37" fontId="38" fillId="42" borderId="17" xfId="72" applyNumberFormat="1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 vertical="top" wrapText="1"/>
      <protection/>
    </xf>
    <xf numFmtId="37" fontId="38" fillId="42" borderId="16" xfId="72" applyNumberFormat="1" applyFont="1" applyFill="1" applyBorder="1" applyAlignment="1" applyProtection="1">
      <alignment horizontal="center"/>
      <protection/>
    </xf>
    <xf numFmtId="37" fontId="38" fillId="42" borderId="16" xfId="72" applyNumberFormat="1" applyFont="1" applyFill="1" applyBorder="1" applyAlignment="1" applyProtection="1">
      <alignment horizontal="center" vertical="top" wrapText="1"/>
      <protection/>
    </xf>
    <xf numFmtId="37" fontId="38" fillId="42" borderId="0" xfId="72" applyNumberFormat="1" applyFont="1" applyFill="1" applyBorder="1" applyAlignment="1" applyProtection="1">
      <alignment horizontal="center"/>
      <protection/>
    </xf>
    <xf numFmtId="0" fontId="38" fillId="42" borderId="17" xfId="72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/>
      <protection/>
    </xf>
    <xf numFmtId="49" fontId="54" fillId="42" borderId="0" xfId="72" applyNumberFormat="1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 vertical="top"/>
      <protection/>
    </xf>
    <xf numFmtId="0" fontId="0" fillId="42" borderId="16" xfId="0" applyFont="1" applyFill="1" applyBorder="1" applyAlignment="1" applyProtection="1">
      <alignment vertical="top" wrapText="1"/>
      <protection/>
    </xf>
    <xf numFmtId="37" fontId="38" fillId="42" borderId="13" xfId="72" applyNumberFormat="1" applyFont="1" applyFill="1" applyBorder="1" applyAlignment="1" applyProtection="1">
      <alignment horizontal="center"/>
      <protection/>
    </xf>
    <xf numFmtId="0" fontId="38" fillId="42" borderId="14" xfId="72" applyFont="1" applyFill="1" applyBorder="1" applyAlignment="1" applyProtection="1">
      <alignment horizontal="center" vertical="center" wrapText="1"/>
      <protection/>
    </xf>
    <xf numFmtId="37" fontId="38" fillId="42" borderId="19" xfId="72" applyNumberFormat="1" applyFont="1" applyFill="1" applyBorder="1" applyAlignment="1" applyProtection="1">
      <alignment horizontal="center"/>
      <protection/>
    </xf>
    <xf numFmtId="0" fontId="38" fillId="42" borderId="19" xfId="72" applyFont="1" applyFill="1" applyBorder="1" applyAlignment="1" applyProtection="1">
      <alignment horizontal="center"/>
      <protection/>
    </xf>
    <xf numFmtId="37" fontId="38" fillId="42" borderId="18" xfId="72" applyNumberFormat="1" applyFont="1" applyFill="1" applyBorder="1" applyAlignment="1" applyProtection="1">
      <alignment horizontal="center"/>
      <protection/>
    </xf>
    <xf numFmtId="165" fontId="15" fillId="0" borderId="0" xfId="79" applyFont="1" applyFill="1" applyBorder="1" applyAlignment="1" applyProtection="1">
      <alignment horizontal="left" vertical="center" wrapText="1"/>
      <protection/>
    </xf>
    <xf numFmtId="165" fontId="15" fillId="0" borderId="17" xfId="79" applyFont="1" applyFill="1" applyBorder="1" applyAlignment="1" applyProtection="1">
      <alignment horizontal="center"/>
      <protection/>
    </xf>
    <xf numFmtId="165" fontId="15" fillId="0" borderId="0" xfId="79" applyFont="1" applyFill="1" applyBorder="1" applyAlignment="1" applyProtection="1">
      <alignment/>
      <protection/>
    </xf>
    <xf numFmtId="165" fontId="15" fillId="0" borderId="17" xfId="79" applyFont="1" applyFill="1" applyBorder="1" applyAlignment="1" applyProtection="1">
      <alignment/>
      <protection/>
    </xf>
    <xf numFmtId="165" fontId="15" fillId="42" borderId="17" xfId="79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4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15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5" fontId="15" fillId="0" borderId="18" xfId="79" applyFont="1" applyFill="1" applyBorder="1" applyAlignment="1" applyProtection="1">
      <alignment/>
      <protection/>
    </xf>
    <xf numFmtId="0" fontId="1" fillId="41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7" fontId="58" fillId="0" borderId="0" xfId="0" applyNumberFormat="1" applyFont="1" applyFill="1" applyAlignment="1" applyProtection="1">
      <alignment horizontal="right"/>
      <protection/>
    </xf>
    <xf numFmtId="0" fontId="56" fillId="42" borderId="24" xfId="0" applyFont="1" applyFill="1" applyBorder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/>
      <protection/>
    </xf>
    <xf numFmtId="0" fontId="58" fillId="42" borderId="21" xfId="0" applyFont="1" applyFill="1" applyBorder="1" applyAlignment="1" applyProtection="1">
      <alignment horizontal="center"/>
      <protection/>
    </xf>
    <xf numFmtId="0" fontId="56" fillId="42" borderId="15" xfId="0" applyFont="1" applyFill="1" applyBorder="1" applyAlignment="1" applyProtection="1">
      <alignment/>
      <protection/>
    </xf>
    <xf numFmtId="0" fontId="58" fillId="42" borderId="19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 wrapText="1"/>
      <protection/>
    </xf>
    <xf numFmtId="165" fontId="56" fillId="0" borderId="16" xfId="79" applyFont="1" applyFill="1" applyBorder="1" applyAlignment="1" applyProtection="1">
      <alignment/>
      <protection/>
    </xf>
    <xf numFmtId="0" fontId="56" fillId="41" borderId="0" xfId="0" applyFont="1" applyFill="1" applyAlignment="1" applyProtection="1">
      <alignment wrapText="1"/>
      <protection/>
    </xf>
    <xf numFmtId="165" fontId="56" fillId="42" borderId="16" xfId="79" applyNumberFormat="1" applyFont="1" applyFill="1" applyBorder="1" applyAlignment="1" applyProtection="1">
      <alignment wrapText="1"/>
      <protection locked="0"/>
    </xf>
    <xf numFmtId="165" fontId="56" fillId="42" borderId="17" xfId="79" applyNumberFormat="1" applyFont="1" applyFill="1" applyBorder="1" applyAlignment="1" applyProtection="1">
      <alignment/>
      <protection locked="0"/>
    </xf>
    <xf numFmtId="165" fontId="56" fillId="42" borderId="16" xfId="79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5" fontId="56" fillId="0" borderId="16" xfId="79" applyFont="1" applyFill="1" applyBorder="1" applyAlignment="1" applyProtection="1">
      <alignment horizontal="center"/>
      <protection/>
    </xf>
    <xf numFmtId="165" fontId="56" fillId="42" borderId="16" xfId="79" applyNumberFormat="1" applyFont="1" applyFill="1" applyBorder="1" applyAlignment="1" applyProtection="1">
      <alignment/>
      <protection locked="0"/>
    </xf>
    <xf numFmtId="165" fontId="56" fillId="42" borderId="16" xfId="79" applyFont="1" applyFill="1" applyBorder="1" applyAlignment="1" applyProtection="1">
      <alignment/>
      <protection locked="0"/>
    </xf>
    <xf numFmtId="165" fontId="56" fillId="42" borderId="17" xfId="79" applyFont="1" applyFill="1" applyBorder="1" applyAlignment="1" applyProtection="1">
      <alignment/>
      <protection locked="0"/>
    </xf>
    <xf numFmtId="165" fontId="56" fillId="42" borderId="16" xfId="79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wrapText="1"/>
      <protection/>
    </xf>
    <xf numFmtId="165" fontId="58" fillId="0" borderId="22" xfId="79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/>
      <protection/>
    </xf>
    <xf numFmtId="165" fontId="56" fillId="0" borderId="20" xfId="79" applyFont="1" applyFill="1" applyBorder="1" applyAlignment="1" applyProtection="1">
      <alignment/>
      <protection/>
    </xf>
    <xf numFmtId="165" fontId="58" fillId="42" borderId="17" xfId="79" applyNumberFormat="1" applyFont="1" applyFill="1" applyBorder="1" applyAlignment="1" applyProtection="1">
      <alignment/>
      <protection locked="0"/>
    </xf>
    <xf numFmtId="0" fontId="56" fillId="41" borderId="0" xfId="0" applyFont="1" applyFill="1" applyAlignment="1" applyProtection="1">
      <alignment/>
      <protection/>
    </xf>
    <xf numFmtId="165" fontId="58" fillId="42" borderId="17" xfId="79" applyFont="1" applyFill="1" applyBorder="1" applyAlignment="1" applyProtection="1">
      <alignment/>
      <protection locked="0"/>
    </xf>
    <xf numFmtId="0" fontId="56" fillId="41" borderId="15" xfId="0" applyFont="1" applyFill="1" applyBorder="1" applyAlignment="1" applyProtection="1">
      <alignment/>
      <protection/>
    </xf>
    <xf numFmtId="165" fontId="58" fillId="42" borderId="19" xfId="79" applyFont="1" applyFill="1" applyBorder="1" applyAlignment="1" applyProtection="1">
      <alignment/>
      <protection locked="0"/>
    </xf>
    <xf numFmtId="165" fontId="56" fillId="42" borderId="19" xfId="79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/>
    </xf>
    <xf numFmtId="165" fontId="58" fillId="0" borderId="22" xfId="79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1" fillId="41" borderId="0" xfId="0" applyFont="1" applyFill="1" applyBorder="1" applyAlignment="1" applyProtection="1">
      <alignment/>
      <protection/>
    </xf>
    <xf numFmtId="0" fontId="58" fillId="42" borderId="21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 vertical="center"/>
      <protection/>
    </xf>
    <xf numFmtId="0" fontId="56" fillId="42" borderId="15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 vertical="center"/>
      <protection/>
    </xf>
    <xf numFmtId="0" fontId="58" fillId="42" borderId="18" xfId="0" applyFont="1" applyFill="1" applyBorder="1" applyAlignment="1" applyProtection="1">
      <alignment horizontal="center" vertical="center"/>
      <protection/>
    </xf>
    <xf numFmtId="0" fontId="58" fillId="42" borderId="15" xfId="0" applyFont="1" applyFill="1" applyBorder="1" applyAlignment="1" applyProtection="1">
      <alignment horizontal="center" vertical="center"/>
      <protection/>
    </xf>
    <xf numFmtId="0" fontId="56" fillId="0" borderId="24" xfId="0" applyFont="1" applyFill="1" applyBorder="1" applyAlignment="1" applyProtection="1">
      <alignment/>
      <protection/>
    </xf>
    <xf numFmtId="165" fontId="56" fillId="0" borderId="21" xfId="79" applyFont="1" applyFill="1" applyBorder="1" applyAlignment="1" applyProtection="1">
      <alignment/>
      <protection/>
    </xf>
    <xf numFmtId="165" fontId="56" fillId="0" borderId="23" xfId="79" applyFont="1" applyFill="1" applyBorder="1" applyAlignment="1" applyProtection="1">
      <alignment/>
      <protection/>
    </xf>
    <xf numFmtId="165" fontId="16" fillId="41" borderId="20" xfId="79" applyFont="1" applyFill="1" applyBorder="1" applyAlignment="1" applyProtection="1">
      <alignment/>
      <protection/>
    </xf>
    <xf numFmtId="165" fontId="15" fillId="42" borderId="13" xfId="79" applyNumberFormat="1" applyFont="1" applyFill="1" applyBorder="1" applyAlignment="1" applyProtection="1">
      <alignment horizontal="left" vertical="top" wrapText="1"/>
      <protection locked="0"/>
    </xf>
    <xf numFmtId="165" fontId="16" fillId="41" borderId="17" xfId="79" applyFont="1" applyFill="1" applyBorder="1" applyAlignment="1" applyProtection="1">
      <alignment/>
      <protection locked="0"/>
    </xf>
    <xf numFmtId="165" fontId="56" fillId="42" borderId="13" xfId="79" applyNumberFormat="1" applyFont="1" applyFill="1" applyBorder="1" applyAlignment="1" applyProtection="1">
      <alignment/>
      <protection locked="0"/>
    </xf>
    <xf numFmtId="165" fontId="56" fillId="0" borderId="13" xfId="79" applyFont="1" applyFill="1" applyBorder="1" applyAlignment="1" applyProtection="1">
      <alignment/>
      <protection/>
    </xf>
    <xf numFmtId="165" fontId="16" fillId="41" borderId="17" xfId="79" applyFont="1" applyFill="1" applyBorder="1" applyAlignment="1" applyProtection="1">
      <alignment/>
      <protection/>
    </xf>
    <xf numFmtId="165" fontId="56" fillId="42" borderId="17" xfId="79" applyNumberFormat="1" applyFont="1" applyFill="1" applyBorder="1" applyAlignment="1" applyProtection="1">
      <alignment horizontal="center"/>
      <protection locked="0"/>
    </xf>
    <xf numFmtId="165" fontId="56" fillId="42" borderId="13" xfId="79" applyFont="1" applyFill="1" applyBorder="1" applyAlignment="1" applyProtection="1">
      <alignment horizontal="center"/>
      <protection locked="0"/>
    </xf>
    <xf numFmtId="165" fontId="62" fillId="41" borderId="17" xfId="79" applyFont="1" applyFill="1" applyBorder="1" applyAlignment="1" applyProtection="1">
      <alignment/>
      <protection locked="0"/>
    </xf>
    <xf numFmtId="165" fontId="56" fillId="42" borderId="17" xfId="79" applyFont="1" applyFill="1" applyBorder="1" applyAlignment="1" applyProtection="1">
      <alignment horizontal="center"/>
      <protection locked="0"/>
    </xf>
    <xf numFmtId="165" fontId="62" fillId="41" borderId="19" xfId="79" applyFont="1" applyFill="1" applyBorder="1" applyAlignment="1" applyProtection="1">
      <alignment/>
      <protection locked="0"/>
    </xf>
    <xf numFmtId="0" fontId="58" fillId="41" borderId="12" xfId="0" applyFont="1" applyFill="1" applyBorder="1" applyAlignment="1" applyProtection="1">
      <alignment/>
      <protection/>
    </xf>
    <xf numFmtId="165" fontId="56" fillId="0" borderId="22" xfId="79" applyFont="1" applyFill="1" applyBorder="1" applyAlignment="1" applyProtection="1">
      <alignment/>
      <protection/>
    </xf>
    <xf numFmtId="165" fontId="16" fillId="41" borderId="25" xfId="79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8" fillId="42" borderId="0" xfId="0" applyFont="1" applyFill="1" applyBorder="1" applyAlignment="1" applyProtection="1">
      <alignment horizontal="center" vertical="center"/>
      <protection/>
    </xf>
    <xf numFmtId="0" fontId="56" fillId="41" borderId="24" xfId="0" applyFont="1" applyFill="1" applyBorder="1" applyAlignment="1" applyProtection="1">
      <alignment horizontal="left"/>
      <protection/>
    </xf>
    <xf numFmtId="165" fontId="56" fillId="42" borderId="21" xfId="79" applyFont="1" applyFill="1" applyBorder="1" applyAlignment="1" applyProtection="1">
      <alignment horizontal="left"/>
      <protection locked="0"/>
    </xf>
    <xf numFmtId="165" fontId="56" fillId="42" borderId="23" xfId="79" applyFont="1" applyFill="1" applyBorder="1" applyAlignment="1" applyProtection="1">
      <alignment horizontal="left"/>
      <protection locked="0"/>
    </xf>
    <xf numFmtId="0" fontId="56" fillId="41" borderId="0" xfId="0" applyFont="1" applyFill="1" applyBorder="1" applyAlignment="1" applyProtection="1">
      <alignment horizontal="left"/>
      <protection/>
    </xf>
    <xf numFmtId="165" fontId="56" fillId="42" borderId="16" xfId="79" applyFont="1" applyFill="1" applyBorder="1" applyAlignment="1" applyProtection="1">
      <alignment horizontal="left"/>
      <protection locked="0"/>
    </xf>
    <xf numFmtId="165" fontId="56" fillId="42" borderId="13" xfId="79" applyFont="1" applyFill="1" applyBorder="1" applyAlignment="1" applyProtection="1">
      <alignment horizontal="left"/>
      <protection locked="0"/>
    </xf>
    <xf numFmtId="165" fontId="56" fillId="42" borderId="0" xfId="79" applyFont="1" applyFill="1" applyBorder="1" applyAlignment="1" applyProtection="1">
      <alignment horizontal="center"/>
      <protection locked="0"/>
    </xf>
    <xf numFmtId="165" fontId="56" fillId="41" borderId="16" xfId="79" applyFont="1" applyFill="1" applyBorder="1" applyAlignment="1" applyProtection="1">
      <alignment horizontal="left"/>
      <protection/>
    </xf>
    <xf numFmtId="165" fontId="16" fillId="41" borderId="17" xfId="79" applyFont="1" applyFill="1" applyBorder="1" applyAlignment="1" applyProtection="1">
      <alignment horizontal="left"/>
      <protection/>
    </xf>
    <xf numFmtId="0" fontId="56" fillId="41" borderId="0" xfId="0" applyFont="1" applyFill="1" applyAlignment="1" applyProtection="1">
      <alignment/>
      <protection/>
    </xf>
    <xf numFmtId="165" fontId="56" fillId="42" borderId="31" xfId="0" applyNumberFormat="1" applyFont="1" applyFill="1" applyBorder="1" applyAlignment="1" applyProtection="1">
      <alignment/>
      <protection locked="0"/>
    </xf>
    <xf numFmtId="165" fontId="56" fillId="42" borderId="0" xfId="79" applyNumberFormat="1" applyFont="1" applyFill="1" applyBorder="1" applyAlignment="1" applyProtection="1">
      <alignment horizontal="center"/>
      <protection locked="0"/>
    </xf>
    <xf numFmtId="165" fontId="56" fillId="42" borderId="17" xfId="79" applyNumberFormat="1" applyFont="1" applyFill="1" applyBorder="1" applyAlignment="1" applyProtection="1">
      <alignment/>
      <protection locked="0"/>
    </xf>
    <xf numFmtId="165" fontId="56" fillId="42" borderId="17" xfId="79" applyNumberFormat="1" applyFont="1" applyFill="1" applyBorder="1" applyAlignment="1" applyProtection="1">
      <alignment horizontal="center"/>
      <protection locked="0"/>
    </xf>
    <xf numFmtId="0" fontId="56" fillId="41" borderId="13" xfId="0" applyFont="1" applyFill="1" applyBorder="1" applyAlignment="1" applyProtection="1">
      <alignment/>
      <protection/>
    </xf>
    <xf numFmtId="165" fontId="56" fillId="42" borderId="0" xfId="79" applyNumberFormat="1" applyFont="1" applyFill="1" applyBorder="1" applyAlignment="1" applyProtection="1">
      <alignment/>
      <protection locked="0"/>
    </xf>
    <xf numFmtId="0" fontId="56" fillId="41" borderId="13" xfId="0" applyFont="1" applyFill="1" applyBorder="1" applyAlignment="1" applyProtection="1">
      <alignment horizontal="left"/>
      <protection/>
    </xf>
    <xf numFmtId="165" fontId="56" fillId="42" borderId="17" xfId="79" applyFont="1" applyFill="1" applyBorder="1" applyAlignment="1" applyProtection="1">
      <alignment/>
      <protection locked="0"/>
    </xf>
    <xf numFmtId="165" fontId="56" fillId="42" borderId="0" xfId="79" applyFont="1" applyFill="1" applyBorder="1" applyAlignment="1" applyProtection="1">
      <alignment/>
      <protection locked="0"/>
    </xf>
    <xf numFmtId="0" fontId="56" fillId="41" borderId="0" xfId="0" applyFont="1" applyFill="1" applyBorder="1" applyAlignment="1" applyProtection="1">
      <alignment horizontal="left" wrapText="1"/>
      <protection/>
    </xf>
    <xf numFmtId="165" fontId="56" fillId="42" borderId="17" xfId="79" applyFont="1" applyFill="1" applyBorder="1" applyAlignment="1" applyProtection="1">
      <alignment horizontal="center" vertical="center"/>
      <protection locked="0"/>
    </xf>
    <xf numFmtId="165" fontId="56" fillId="42" borderId="0" xfId="79" applyFont="1" applyFill="1" applyBorder="1" applyAlignment="1" applyProtection="1">
      <alignment horizontal="center" vertical="center"/>
      <protection locked="0"/>
    </xf>
    <xf numFmtId="0" fontId="56" fillId="41" borderId="13" xfId="0" applyFont="1" applyFill="1" applyBorder="1" applyAlignment="1" applyProtection="1">
      <alignment horizontal="left" wrapText="1"/>
      <protection/>
    </xf>
    <xf numFmtId="0" fontId="56" fillId="41" borderId="15" xfId="0" applyFont="1" applyFill="1" applyBorder="1" applyAlignment="1" applyProtection="1">
      <alignment horizontal="left" wrapText="1"/>
      <protection/>
    </xf>
    <xf numFmtId="0" fontId="58" fillId="41" borderId="12" xfId="0" applyFont="1" applyFill="1" applyBorder="1" applyAlignment="1" applyProtection="1">
      <alignment wrapText="1"/>
      <protection/>
    </xf>
    <xf numFmtId="165" fontId="56" fillId="0" borderId="25" xfId="79" applyFont="1" applyFill="1" applyBorder="1" applyAlignment="1" applyProtection="1">
      <alignment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165" fontId="58" fillId="41" borderId="25" xfId="79" applyFont="1" applyFill="1" applyBorder="1" applyAlignment="1" applyProtection="1">
      <alignment horizontal="center" vertical="center" wrapText="1"/>
      <protection/>
    </xf>
    <xf numFmtId="0" fontId="56" fillId="52" borderId="19" xfId="0" applyFont="1" applyFill="1" applyBorder="1" applyAlignment="1" applyProtection="1">
      <alignment horizontal="center" vertical="center"/>
      <protection/>
    </xf>
    <xf numFmtId="165" fontId="43" fillId="41" borderId="25" xfId="79" applyFont="1" applyFill="1" applyBorder="1" applyAlignment="1" applyProtection="1">
      <alignment horizontal="center" vertical="center" wrapText="1"/>
      <protection/>
    </xf>
    <xf numFmtId="0" fontId="58" fillId="0" borderId="24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7" fillId="0" borderId="15" xfId="0" applyFont="1" applyBorder="1" applyAlignment="1" applyProtection="1">
      <alignment/>
      <protection/>
    </xf>
    <xf numFmtId="0" fontId="1" fillId="41" borderId="15" xfId="0" applyFont="1" applyFill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1" fillId="41" borderId="12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65" fontId="58" fillId="42" borderId="21" xfId="79" applyNumberFormat="1" applyFont="1" applyFill="1" applyBorder="1" applyAlignment="1" applyProtection="1">
      <alignment vertical="center" wrapText="1"/>
      <protection locked="0"/>
    </xf>
    <xf numFmtId="165" fontId="58" fillId="42" borderId="23" xfId="79" applyNumberFormat="1" applyFont="1" applyFill="1" applyBorder="1" applyAlignment="1" applyProtection="1">
      <alignment vertical="center" wrapText="1"/>
      <protection locked="0"/>
    </xf>
    <xf numFmtId="165" fontId="56" fillId="42" borderId="21" xfId="79" applyNumberFormat="1" applyFont="1" applyFill="1" applyBorder="1" applyAlignment="1" applyProtection="1">
      <alignment/>
      <protection locked="0"/>
    </xf>
    <xf numFmtId="165" fontId="56" fillId="42" borderId="23" xfId="79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8" fillId="42" borderId="16" xfId="79" applyFont="1" applyFill="1" applyBorder="1" applyAlignment="1" applyProtection="1">
      <alignment vertical="center" wrapText="1"/>
      <protection locked="0"/>
    </xf>
    <xf numFmtId="165" fontId="58" fillId="42" borderId="13" xfId="79" applyFont="1" applyFill="1" applyBorder="1" applyAlignment="1" applyProtection="1">
      <alignment vertical="center" wrapText="1"/>
      <protection locked="0"/>
    </xf>
    <xf numFmtId="165" fontId="56" fillId="42" borderId="13" xfId="79" applyFont="1" applyFill="1" applyBorder="1" applyAlignment="1" applyProtection="1">
      <alignment/>
      <protection locked="0"/>
    </xf>
    <xf numFmtId="0" fontId="58" fillId="41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65" fontId="58" fillId="0" borderId="18" xfId="79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6" fillId="0" borderId="15" xfId="0" applyFont="1" applyFill="1" applyBorder="1" applyAlignment="1" applyProtection="1">
      <alignment horizontal="center"/>
      <protection/>
    </xf>
    <xf numFmtId="0" fontId="56" fillId="0" borderId="15" xfId="0" applyFont="1" applyFill="1" applyBorder="1" applyAlignment="1" applyProtection="1">
      <alignment/>
      <protection/>
    </xf>
    <xf numFmtId="0" fontId="58" fillId="41" borderId="24" xfId="0" applyFont="1" applyFill="1" applyBorder="1" applyAlignment="1" applyProtection="1">
      <alignment horizontal="left" vertical="center" wrapText="1"/>
      <protection locked="0"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left" vertical="center" wrapText="1"/>
      <protection locked="0"/>
    </xf>
    <xf numFmtId="0" fontId="58" fillId="41" borderId="13" xfId="0" applyFont="1" applyFill="1" applyBorder="1" applyAlignment="1" applyProtection="1">
      <alignment horizontal="center" vertical="center" wrapText="1"/>
      <protection locked="0"/>
    </xf>
    <xf numFmtId="0" fontId="58" fillId="41" borderId="15" xfId="0" applyFont="1" applyFill="1" applyBorder="1" applyAlignment="1" applyProtection="1">
      <alignment horizontal="left" vertical="center" wrapText="1"/>
      <protection/>
    </xf>
    <xf numFmtId="0" fontId="58" fillId="41" borderId="14" xfId="0" applyFont="1" applyFill="1" applyBorder="1" applyAlignment="1" applyProtection="1">
      <alignment horizontal="center" vertical="center" wrapText="1"/>
      <protection/>
    </xf>
    <xf numFmtId="0" fontId="58" fillId="41" borderId="24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/>
      <protection/>
    </xf>
    <xf numFmtId="0" fontId="60" fillId="42" borderId="24" xfId="0" applyFont="1" applyFill="1" applyBorder="1" applyAlignment="1" applyProtection="1">
      <alignment horizontal="center"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 horizontal="center"/>
      <protection/>
    </xf>
    <xf numFmtId="0" fontId="58" fillId="42" borderId="15" xfId="0" applyFont="1" applyFill="1" applyBorder="1" applyAlignment="1" applyProtection="1">
      <alignment horizontal="center" vertical="center" wrapText="1"/>
      <protection/>
    </xf>
    <xf numFmtId="165" fontId="62" fillId="41" borderId="20" xfId="79" applyFont="1" applyFill="1" applyBorder="1" applyAlignment="1" applyProtection="1">
      <alignment/>
      <protection locked="0"/>
    </xf>
    <xf numFmtId="165" fontId="56" fillId="42" borderId="18" xfId="79" applyNumberFormat="1" applyFont="1" applyFill="1" applyBorder="1" applyAlignment="1" applyProtection="1">
      <alignment/>
      <protection locked="0"/>
    </xf>
    <xf numFmtId="165" fontId="58" fillId="52" borderId="22" xfId="79" applyFont="1" applyFill="1" applyBorder="1" applyAlignment="1" applyProtection="1">
      <alignment/>
      <protection/>
    </xf>
    <xf numFmtId="165" fontId="43" fillId="41" borderId="25" xfId="79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5" fillId="0" borderId="0" xfId="72" applyNumberFormat="1" applyFont="1" applyFill="1" applyAlignment="1" applyProtection="1">
      <alignment/>
      <protection/>
    </xf>
    <xf numFmtId="0" fontId="56" fillId="0" borderId="0" xfId="72" applyFont="1" applyFill="1" applyAlignment="1" applyProtection="1">
      <alignment horizontal="center"/>
      <protection/>
    </xf>
    <xf numFmtId="0" fontId="57" fillId="0" borderId="0" xfId="72" applyFont="1" applyProtection="1">
      <alignment/>
      <protection/>
    </xf>
    <xf numFmtId="0" fontId="56" fillId="0" borderId="0" xfId="72" applyFont="1" applyFill="1" applyAlignment="1" applyProtection="1">
      <alignment/>
      <protection/>
    </xf>
    <xf numFmtId="0" fontId="56" fillId="41" borderId="0" xfId="72" applyFont="1" applyFill="1" applyProtection="1">
      <alignment/>
      <protection/>
    </xf>
    <xf numFmtId="167" fontId="56" fillId="0" borderId="0" xfId="72" applyNumberFormat="1" applyFont="1" applyFill="1" applyAlignment="1" applyProtection="1">
      <alignment horizontal="right"/>
      <protection/>
    </xf>
    <xf numFmtId="0" fontId="56" fillId="0" borderId="0" xfId="72" applyFont="1" applyAlignment="1" applyProtection="1">
      <alignment horizontal="right"/>
      <protection/>
    </xf>
    <xf numFmtId="0" fontId="60" fillId="42" borderId="23" xfId="72" applyFont="1" applyFill="1" applyBorder="1" applyAlignment="1" applyProtection="1">
      <alignment horizontal="center" vertical="center" wrapText="1"/>
      <protection/>
    </xf>
    <xf numFmtId="0" fontId="60" fillId="42" borderId="13" xfId="72" applyFont="1" applyFill="1" applyBorder="1" applyAlignment="1" applyProtection="1">
      <alignment horizontal="center" vertical="center"/>
      <protection locked="0"/>
    </xf>
    <xf numFmtId="0" fontId="58" fillId="42" borderId="21" xfId="72" applyFont="1" applyFill="1" applyBorder="1" applyAlignment="1" applyProtection="1">
      <alignment horizontal="center" vertical="center"/>
      <protection/>
    </xf>
    <xf numFmtId="0" fontId="58" fillId="42" borderId="24" xfId="72" applyFont="1" applyFill="1" applyBorder="1" applyAlignment="1" applyProtection="1">
      <alignment horizontal="center" vertical="center"/>
      <protection/>
    </xf>
    <xf numFmtId="0" fontId="56" fillId="42" borderId="0" xfId="72" applyFont="1" applyFill="1" applyBorder="1" applyAlignment="1" applyProtection="1">
      <alignment horizontal="center"/>
      <protection/>
    </xf>
    <xf numFmtId="0" fontId="58" fillId="42" borderId="18" xfId="72" applyFont="1" applyFill="1" applyBorder="1" applyAlignment="1" applyProtection="1">
      <alignment horizontal="center"/>
      <protection/>
    </xf>
    <xf numFmtId="0" fontId="58" fillId="42" borderId="15" xfId="72" applyFont="1" applyFill="1" applyBorder="1" applyAlignment="1" applyProtection="1">
      <alignment horizontal="center"/>
      <protection/>
    </xf>
    <xf numFmtId="0" fontId="56" fillId="0" borderId="24" xfId="72" applyFont="1" applyFill="1" applyBorder="1" applyAlignment="1" applyProtection="1">
      <alignment/>
      <protection/>
    </xf>
    <xf numFmtId="165" fontId="56" fillId="0" borderId="20" xfId="79" applyFont="1" applyFill="1" applyBorder="1" applyAlignment="1" applyProtection="1">
      <alignment horizontal="center"/>
      <protection/>
    </xf>
    <xf numFmtId="0" fontId="56" fillId="0" borderId="0" xfId="72" applyFont="1" applyFill="1" applyBorder="1" applyAlignment="1" applyProtection="1">
      <alignment/>
      <protection/>
    </xf>
    <xf numFmtId="165" fontId="56" fillId="0" borderId="17" xfId="79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/>
      <protection/>
    </xf>
    <xf numFmtId="165" fontId="56" fillId="0" borderId="22" xfId="72" applyNumberFormat="1" applyFont="1" applyFill="1" applyBorder="1" applyAlignment="1" applyProtection="1">
      <alignment horizontal="center"/>
      <protection/>
    </xf>
    <xf numFmtId="165" fontId="56" fillId="0" borderId="22" xfId="79" applyFont="1" applyFill="1" applyBorder="1" applyAlignment="1" applyProtection="1">
      <alignment horizontal="center"/>
      <protection/>
    </xf>
    <xf numFmtId="165" fontId="56" fillId="0" borderId="25" xfId="72" applyNumberFormat="1" applyFont="1" applyFill="1" applyBorder="1" applyAlignment="1" applyProtection="1">
      <alignment horizontal="center"/>
      <protection/>
    </xf>
    <xf numFmtId="0" fontId="58" fillId="42" borderId="21" xfId="72" applyFont="1" applyFill="1" applyBorder="1" applyAlignment="1" applyProtection="1">
      <alignment horizontal="center"/>
      <protection/>
    </xf>
    <xf numFmtId="0" fontId="58" fillId="42" borderId="24" xfId="72" applyFont="1" applyFill="1" applyBorder="1" applyAlignment="1" applyProtection="1">
      <alignment horizontal="center"/>
      <protection/>
    </xf>
    <xf numFmtId="0" fontId="56" fillId="41" borderId="0" xfId="72" applyFont="1" applyFill="1" applyBorder="1" applyAlignment="1" applyProtection="1">
      <alignment horizontal="left"/>
      <protection/>
    </xf>
    <xf numFmtId="0" fontId="56" fillId="41" borderId="24" xfId="72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/>
      <protection/>
    </xf>
    <xf numFmtId="165" fontId="0" fillId="42" borderId="20" xfId="79" applyFont="1" applyFill="1" applyBorder="1" applyAlignment="1" applyProtection="1">
      <alignment/>
      <protection locked="0"/>
    </xf>
    <xf numFmtId="0" fontId="56" fillId="41" borderId="0" xfId="72" applyFont="1" applyFill="1" applyBorder="1" applyProtection="1">
      <alignment/>
      <protection/>
    </xf>
    <xf numFmtId="0" fontId="58" fillId="41" borderId="12" xfId="72" applyFont="1" applyFill="1" applyBorder="1" applyAlignment="1" applyProtection="1">
      <alignment wrapText="1"/>
      <protection/>
    </xf>
    <xf numFmtId="0" fontId="56" fillId="0" borderId="15" xfId="72" applyFont="1" applyFill="1" applyBorder="1" applyAlignment="1" applyProtection="1">
      <alignment/>
      <protection/>
    </xf>
    <xf numFmtId="0" fontId="56" fillId="0" borderId="12" xfId="72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 horizontal="left" vertical="center" wrapText="1"/>
      <protection/>
    </xf>
    <xf numFmtId="0" fontId="58" fillId="41" borderId="12" xfId="72" applyFont="1" applyFill="1" applyBorder="1" applyAlignment="1" applyProtection="1">
      <alignment horizontal="center" vertical="center" wrapText="1"/>
      <protection/>
    </xf>
    <xf numFmtId="165" fontId="56" fillId="0" borderId="19" xfId="72" applyNumberFormat="1" applyFont="1" applyFill="1" applyBorder="1" applyAlignment="1" applyProtection="1">
      <alignment horizontal="center" vertical="center"/>
      <protection/>
    </xf>
    <xf numFmtId="165" fontId="56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42" borderId="24" xfId="0" applyFont="1" applyFill="1" applyBorder="1" applyAlignment="1" applyProtection="1">
      <alignment horizontal="left" vertical="top"/>
      <protection/>
    </xf>
    <xf numFmtId="167" fontId="38" fillId="42" borderId="24" xfId="0" applyNumberFormat="1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justify" wrapText="1"/>
      <protection/>
    </xf>
    <xf numFmtId="0" fontId="62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6" xfId="79" applyNumberFormat="1" applyFont="1" applyFill="1" applyBorder="1" applyAlignment="1" applyProtection="1">
      <alignment horizontal="left" vertical="top"/>
      <protection locked="0"/>
    </xf>
    <xf numFmtId="165" fontId="15" fillId="42" borderId="17" xfId="79" applyNumberFormat="1" applyFont="1" applyFill="1" applyBorder="1" applyAlignment="1" applyProtection="1">
      <alignment horizontal="center" vertical="top"/>
      <protection locked="0"/>
    </xf>
    <xf numFmtId="0" fontId="15" fillId="0" borderId="21" xfId="0" applyFont="1" applyFill="1" applyBorder="1" applyAlignment="1" applyProtection="1">
      <alignment horizontal="justify" vertical="top" wrapText="1"/>
      <protection/>
    </xf>
    <xf numFmtId="0" fontId="15" fillId="0" borderId="16" xfId="0" applyFont="1" applyFill="1" applyBorder="1" applyAlignment="1" applyProtection="1">
      <alignment horizontal="justify" vertical="top" wrapText="1"/>
      <protection/>
    </xf>
    <xf numFmtId="165" fontId="15" fillId="42" borderId="16" xfId="79" applyNumberFormat="1" applyFont="1" applyFill="1" applyBorder="1" applyAlignment="1" applyProtection="1">
      <alignment horizontal="center" vertical="top"/>
      <protection locked="0"/>
    </xf>
    <xf numFmtId="0" fontId="15" fillId="0" borderId="18" xfId="0" applyFont="1" applyFill="1" applyBorder="1" applyAlignment="1" applyProtection="1">
      <alignment horizontal="justify" vertical="top" wrapText="1"/>
      <protection/>
    </xf>
    <xf numFmtId="0" fontId="38" fillId="42" borderId="23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2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38" fillId="42" borderId="15" xfId="0" applyFont="1" applyFill="1" applyBorder="1" applyAlignment="1" applyProtection="1">
      <alignment horizontal="center" vertical="center" wrapText="1"/>
      <protection/>
    </xf>
    <xf numFmtId="0" fontId="38" fillId="42" borderId="19" xfId="0" applyFont="1" applyFill="1" applyBorder="1" applyAlignment="1" applyProtection="1">
      <alignment horizontal="center" vertical="top" wrapText="1"/>
      <protection/>
    </xf>
    <xf numFmtId="165" fontId="15" fillId="42" borderId="17" xfId="79" applyNumberFormat="1" applyFont="1" applyFill="1" applyBorder="1" applyAlignment="1" applyProtection="1">
      <alignment horizontal="right" vertical="top" wrapText="1"/>
      <protection locked="0"/>
    </xf>
    <xf numFmtId="165" fontId="15" fillId="42" borderId="16" xfId="79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vertical="top" wrapText="1"/>
      <protection/>
    </xf>
    <xf numFmtId="165" fontId="15" fillId="0" borderId="25" xfId="79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79" applyNumberFormat="1" applyFont="1" applyFill="1" applyBorder="1" applyAlignment="1" applyProtection="1">
      <alignment horizontal="right" vertical="top" wrapText="1"/>
      <protection locked="0"/>
    </xf>
    <xf numFmtId="165" fontId="15" fillId="42" borderId="22" xfId="79" applyNumberFormat="1" applyFont="1" applyFill="1" applyBorder="1" applyAlignment="1" applyProtection="1">
      <alignment horizontal="right" vertical="top" wrapText="1"/>
      <protection locked="0"/>
    </xf>
    <xf numFmtId="165" fontId="6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Border="1" applyAlignment="1" applyProtection="1">
      <alignment horizontal="right" vertical="top" wrapText="1"/>
      <protection/>
    </xf>
    <xf numFmtId="0" fontId="62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8" fillId="42" borderId="11" xfId="0" applyFont="1" applyFill="1" applyBorder="1" applyAlignment="1" applyProtection="1">
      <alignment horizontal="center" vertical="center"/>
      <protection/>
    </xf>
    <xf numFmtId="0" fontId="38" fillId="42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8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37" fontId="67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42" borderId="21" xfId="0" applyFont="1" applyFill="1" applyBorder="1" applyAlignment="1" applyProtection="1">
      <alignment horizont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0" fontId="38" fillId="42" borderId="18" xfId="0" applyFont="1" applyFill="1" applyBorder="1" applyAlignment="1" applyProtection="1">
      <alignment horizontal="center"/>
      <protection/>
    </xf>
    <xf numFmtId="165" fontId="15" fillId="42" borderId="13" xfId="79" applyNumberFormat="1" applyFont="1" applyFill="1" applyBorder="1" applyAlignment="1" applyProtection="1">
      <alignment/>
      <protection locked="0"/>
    </xf>
    <xf numFmtId="165" fontId="15" fillId="42" borderId="17" xfId="79" applyNumberFormat="1" applyFont="1" applyFill="1" applyBorder="1" applyAlignment="1" applyProtection="1">
      <alignment/>
      <protection locked="0"/>
    </xf>
    <xf numFmtId="165" fontId="15" fillId="42" borderId="14" xfId="79" applyNumberFormat="1" applyFont="1" applyFill="1" applyBorder="1" applyAlignment="1" applyProtection="1">
      <alignment/>
      <protection locked="0"/>
    </xf>
    <xf numFmtId="165" fontId="15" fillId="42" borderId="19" xfId="79" applyNumberFormat="1" applyFont="1" applyFill="1" applyBorder="1" applyAlignment="1" applyProtection="1">
      <alignment/>
      <protection locked="0"/>
    </xf>
    <xf numFmtId="0" fontId="38" fillId="42" borderId="20" xfId="0" applyFont="1" applyFill="1" applyBorder="1" applyAlignment="1" applyProtection="1">
      <alignment horizontal="center"/>
      <protection/>
    </xf>
    <xf numFmtId="0" fontId="38" fillId="42" borderId="19" xfId="0" applyFont="1" applyFill="1" applyBorder="1" applyAlignment="1" applyProtection="1">
      <alignment horizontal="center"/>
      <protection/>
    </xf>
    <xf numFmtId="165" fontId="15" fillId="0" borderId="13" xfId="79" applyFont="1" applyFill="1" applyBorder="1" applyAlignment="1" applyProtection="1">
      <alignment/>
      <protection/>
    </xf>
    <xf numFmtId="165" fontId="15" fillId="42" borderId="16" xfId="79" applyFont="1" applyFill="1" applyBorder="1" applyAlignment="1" applyProtection="1">
      <alignment/>
      <protection locked="0"/>
    </xf>
    <xf numFmtId="165" fontId="15" fillId="42" borderId="13" xfId="79" applyFont="1" applyFill="1" applyBorder="1" applyAlignment="1" applyProtection="1">
      <alignment/>
      <protection locked="0"/>
    </xf>
    <xf numFmtId="165" fontId="15" fillId="42" borderId="16" xfId="79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79" applyFont="1" applyFill="1" applyBorder="1" applyAlignment="1" applyProtection="1">
      <alignment/>
      <protection/>
    </xf>
    <xf numFmtId="0" fontId="38" fillId="42" borderId="23" xfId="0" applyFont="1" applyFill="1" applyBorder="1" applyAlignment="1" applyProtection="1">
      <alignment horizontal="center"/>
      <protection/>
    </xf>
    <xf numFmtId="0" fontId="38" fillId="42" borderId="13" xfId="0" applyFont="1" applyFill="1" applyBorder="1" applyAlignment="1" applyProtection="1">
      <alignment horizontal="center"/>
      <protection/>
    </xf>
    <xf numFmtId="0" fontId="38" fillId="42" borderId="14" xfId="0" applyFont="1" applyFill="1" applyBorder="1" applyAlignment="1" applyProtection="1">
      <alignment horizontal="center"/>
      <protection/>
    </xf>
    <xf numFmtId="9" fontId="15" fillId="0" borderId="16" xfId="0" applyNumberFormat="1" applyFont="1" applyFill="1" applyBorder="1" applyAlignment="1" applyProtection="1">
      <alignment horizontal="center"/>
      <protection/>
    </xf>
    <xf numFmtId="165" fontId="15" fillId="42" borderId="18" xfId="79" applyNumberFormat="1" applyFont="1" applyFill="1" applyBorder="1" applyAlignment="1" applyProtection="1">
      <alignment/>
      <protection locked="0"/>
    </xf>
    <xf numFmtId="9" fontId="15" fillId="0" borderId="18" xfId="0" applyNumberFormat="1" applyFont="1" applyFill="1" applyBorder="1" applyAlignment="1" applyProtection="1">
      <alignment horizontal="center"/>
      <protection/>
    </xf>
    <xf numFmtId="0" fontId="38" fillId="42" borderId="23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/>
      <protection/>
    </xf>
    <xf numFmtId="0" fontId="68" fillId="42" borderId="11" xfId="0" applyFont="1" applyFill="1" applyBorder="1" applyAlignment="1" applyProtection="1">
      <alignment horizontal="center" vertical="center"/>
      <protection/>
    </xf>
    <xf numFmtId="37" fontId="38" fillId="42" borderId="22" xfId="0" applyNumberFormat="1" applyFont="1" applyFill="1" applyBorder="1" applyAlignment="1" applyProtection="1">
      <alignment horizontal="center" vertical="center"/>
      <protection/>
    </xf>
    <xf numFmtId="165" fontId="15" fillId="42" borderId="11" xfId="79" applyNumberFormat="1" applyFont="1" applyFill="1" applyBorder="1" applyAlignment="1" applyProtection="1">
      <alignment/>
      <protection locked="0"/>
    </xf>
    <xf numFmtId="10" fontId="15" fillId="42" borderId="22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8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2" fillId="44" borderId="0" xfId="7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65" fontId="24" fillId="42" borderId="16" xfId="79" applyFont="1" applyFill="1" applyBorder="1" applyAlignment="1" applyProtection="1">
      <alignment horizontal="center"/>
      <protection locked="0"/>
    </xf>
    <xf numFmtId="165" fontId="24" fillId="42" borderId="18" xfId="79" applyFont="1" applyFill="1" applyBorder="1" applyAlignment="1" applyProtection="1">
      <alignment horizontal="center"/>
      <protection locked="0"/>
    </xf>
    <xf numFmtId="165" fontId="24" fillId="38" borderId="16" xfId="79" applyFont="1" applyFill="1" applyBorder="1" applyAlignment="1" applyProtection="1">
      <alignment horizontal="center"/>
      <protection/>
    </xf>
    <xf numFmtId="0" fontId="26" fillId="42" borderId="21" xfId="72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NumberFormat="1" applyFont="1" applyFill="1" applyBorder="1" applyAlignment="1" applyProtection="1">
      <alignment horizontal="center" vertical="center" wrapText="1"/>
      <protection/>
    </xf>
    <xf numFmtId="0" fontId="26" fillId="42" borderId="18" xfId="72" applyNumberFormat="1" applyFont="1" applyFill="1" applyBorder="1" applyAlignment="1" applyProtection="1">
      <alignment horizontal="center" vertical="center" wrapText="1"/>
      <protection/>
    </xf>
    <xf numFmtId="165" fontId="24" fillId="35" borderId="21" xfId="79" applyFont="1" applyFill="1" applyBorder="1" applyAlignment="1" applyProtection="1">
      <alignment horizontal="center"/>
      <protection/>
    </xf>
    <xf numFmtId="165" fontId="24" fillId="42" borderId="17" xfId="79" applyFont="1" applyFill="1" applyBorder="1" applyAlignment="1" applyProtection="1">
      <alignment horizontal="center"/>
      <protection locked="0"/>
    </xf>
    <xf numFmtId="0" fontId="26" fillId="42" borderId="11" xfId="0" applyNumberFormat="1" applyFont="1" applyFill="1" applyBorder="1" applyAlignment="1" applyProtection="1">
      <alignment horizontal="center" vertical="center"/>
      <protection/>
    </xf>
    <xf numFmtId="0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NumberFormat="1" applyFont="1" applyFill="1" applyBorder="1" applyAlignment="1" applyProtection="1">
      <alignment horizontal="center" vertical="center"/>
      <protection/>
    </xf>
    <xf numFmtId="0" fontId="26" fillId="42" borderId="22" xfId="0" applyNumberFormat="1" applyFont="1" applyFill="1" applyBorder="1" applyAlignment="1" applyProtection="1">
      <alignment horizontal="center"/>
      <protection/>
    </xf>
    <xf numFmtId="165" fontId="24" fillId="42" borderId="16" xfId="79" applyFont="1" applyFill="1" applyBorder="1" applyAlignment="1" applyProtection="1">
      <alignment horizontal="center" vertical="center"/>
      <protection locked="0"/>
    </xf>
    <xf numFmtId="165" fontId="24" fillId="35" borderId="16" xfId="79" applyFont="1" applyFill="1" applyBorder="1" applyAlignment="1" applyProtection="1">
      <alignment horizontal="center"/>
      <protection/>
    </xf>
    <xf numFmtId="165" fontId="31" fillId="43" borderId="16" xfId="79" applyFont="1" applyFill="1" applyBorder="1" applyAlignment="1" applyProtection="1">
      <alignment horizontal="center"/>
      <protection locked="0"/>
    </xf>
    <xf numFmtId="165" fontId="24" fillId="42" borderId="16" xfId="79" applyNumberFormat="1" applyFont="1" applyFill="1" applyBorder="1" applyAlignment="1" applyProtection="1">
      <alignment horizontal="center"/>
      <protection locked="0"/>
    </xf>
    <xf numFmtId="49" fontId="26" fillId="42" borderId="18" xfId="0" applyNumberFormat="1" applyFont="1" applyFill="1" applyBorder="1" applyAlignment="1" applyProtection="1">
      <alignment horizontal="center"/>
      <protection/>
    </xf>
    <xf numFmtId="165" fontId="24" fillId="42" borderId="21" xfId="79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 wrapText="1"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/>
      <protection/>
    </xf>
    <xf numFmtId="165" fontId="24" fillId="0" borderId="22" xfId="79" applyFont="1" applyFill="1" applyBorder="1" applyAlignment="1" applyProtection="1">
      <alignment horizontal="center"/>
      <protection/>
    </xf>
    <xf numFmtId="165" fontId="24" fillId="45" borderId="22" xfId="79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165" fontId="26" fillId="42" borderId="16" xfId="79" applyFont="1" applyFill="1" applyBorder="1" applyAlignment="1" applyProtection="1">
      <alignment horizontal="center"/>
      <protection locked="0"/>
    </xf>
    <xf numFmtId="165" fontId="24" fillId="0" borderId="27" xfId="79" applyFont="1" applyFill="1" applyBorder="1" applyAlignment="1" applyProtection="1">
      <alignment horizontal="center"/>
      <protection/>
    </xf>
    <xf numFmtId="0" fontId="26" fillId="42" borderId="21" xfId="0" applyNumberFormat="1" applyFont="1" applyFill="1" applyBorder="1" applyAlignment="1" applyProtection="1">
      <alignment horizontal="center" wrapText="1"/>
      <protection/>
    </xf>
    <xf numFmtId="165" fontId="24" fillId="42" borderId="22" xfId="79" applyFont="1" applyFill="1" applyBorder="1" applyAlignment="1" applyProtection="1">
      <alignment horizontal="center"/>
      <protection locked="0"/>
    </xf>
    <xf numFmtId="165" fontId="24" fillId="42" borderId="22" xfId="79" applyFont="1" applyFill="1" applyBorder="1" applyAlignment="1" applyProtection="1">
      <alignment horizontal="center"/>
      <protection/>
    </xf>
    <xf numFmtId="165" fontId="24" fillId="42" borderId="22" xfId="79" applyFont="1" applyFill="1" applyBorder="1" applyAlignment="1" applyProtection="1">
      <alignment horizontal="center" vertical="center"/>
      <protection locked="0"/>
    </xf>
    <xf numFmtId="165" fontId="24" fillId="0" borderId="22" xfId="79" applyFont="1" applyFill="1" applyBorder="1" applyAlignment="1" applyProtection="1">
      <alignment horizontal="center"/>
      <protection locked="0"/>
    </xf>
    <xf numFmtId="165" fontId="24" fillId="42" borderId="16" xfId="79" applyFont="1" applyFill="1" applyBorder="1" applyAlignment="1" applyProtection="1">
      <alignment horizontal="center"/>
      <protection/>
    </xf>
    <xf numFmtId="165" fontId="24" fillId="42" borderId="17" xfId="79" applyFont="1" applyFill="1" applyBorder="1" applyAlignment="1" applyProtection="1">
      <alignment horizontal="center" vertical="center"/>
      <protection locked="0"/>
    </xf>
    <xf numFmtId="165" fontId="24" fillId="42" borderId="18" xfId="79" applyFont="1" applyFill="1" applyBorder="1" applyAlignment="1" applyProtection="1">
      <alignment horizontal="center"/>
      <protection/>
    </xf>
    <xf numFmtId="165" fontId="24" fillId="42" borderId="16" xfId="79" applyNumberFormat="1" applyFont="1" applyFill="1" applyBorder="1" applyAlignment="1" applyProtection="1">
      <alignment horizontal="center" vertical="center"/>
      <protection locked="0"/>
    </xf>
    <xf numFmtId="165" fontId="24" fillId="43" borderId="16" xfId="79" applyFont="1" applyFill="1" applyBorder="1" applyAlignment="1" applyProtection="1">
      <alignment horizontal="center"/>
      <protection/>
    </xf>
    <xf numFmtId="165" fontId="24" fillId="43" borderId="16" xfId="79" applyFont="1" applyFill="1" applyBorder="1" applyAlignment="1" applyProtection="1">
      <alignment horizontal="center"/>
      <protection locked="0"/>
    </xf>
    <xf numFmtId="165" fontId="24" fillId="42" borderId="0" xfId="79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42" borderId="11" xfId="0" applyFont="1" applyFill="1" applyBorder="1" applyAlignment="1" applyProtection="1">
      <alignment horizontal="center" vertical="center"/>
      <protection/>
    </xf>
    <xf numFmtId="49" fontId="26" fillId="42" borderId="22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 vertical="center"/>
      <protection/>
    </xf>
    <xf numFmtId="0" fontId="24" fillId="0" borderId="0" xfId="72" applyNumberFormat="1" applyFont="1" applyFill="1" applyBorder="1" applyAlignment="1" applyProtection="1">
      <alignment horizontal="center" wrapText="1"/>
      <protection/>
    </xf>
    <xf numFmtId="0" fontId="27" fillId="42" borderId="11" xfId="0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72" applyNumberFormat="1" applyFont="1" applyFill="1" applyBorder="1" applyAlignment="1" applyProtection="1">
      <alignment horizontal="center" wrapText="1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/>
      <protection/>
    </xf>
    <xf numFmtId="49" fontId="34" fillId="42" borderId="22" xfId="0" applyNumberFormat="1" applyFont="1" applyFill="1" applyBorder="1" applyAlignment="1" applyProtection="1">
      <alignment horizontal="center" vertical="center" wrapText="1"/>
      <protection/>
    </xf>
    <xf numFmtId="0" fontId="34" fillId="42" borderId="20" xfId="0" applyFont="1" applyFill="1" applyBorder="1" applyAlignment="1" applyProtection="1">
      <alignment horizontal="center" vertical="center" wrapText="1"/>
      <protection/>
    </xf>
    <xf numFmtId="165" fontId="24" fillId="42" borderId="27" xfId="79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72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horizontal="left"/>
      <protection/>
    </xf>
    <xf numFmtId="165" fontId="24" fillId="0" borderId="16" xfId="79" applyFont="1" applyFill="1" applyBorder="1" applyAlignment="1" applyProtection="1">
      <alignment horizontal="center"/>
      <protection/>
    </xf>
    <xf numFmtId="165" fontId="24" fillId="0" borderId="21" xfId="79" applyFont="1" applyFill="1" applyBorder="1" applyAlignment="1" applyProtection="1">
      <alignment horizontal="center"/>
      <protection/>
    </xf>
    <xf numFmtId="165" fontId="24" fillId="0" borderId="22" xfId="79" applyFont="1" applyFill="1" applyBorder="1" applyAlignment="1" applyProtection="1">
      <alignment horizontal="center" vertical="center" wrapText="1"/>
      <protection/>
    </xf>
    <xf numFmtId="37" fontId="27" fillId="42" borderId="12" xfId="0" applyNumberFormat="1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37" fontId="26" fillId="42" borderId="11" xfId="0" applyNumberFormat="1" applyFont="1" applyFill="1" applyBorder="1" applyAlignment="1" applyProtection="1">
      <alignment horizontal="center" vertical="center" wrapText="1"/>
      <protection/>
    </xf>
    <xf numFmtId="165" fontId="24" fillId="42" borderId="16" xfId="79" applyFont="1" applyFill="1" applyBorder="1" applyAlignment="1" applyProtection="1">
      <alignment horizontal="center" wrapText="1"/>
      <protection locked="0"/>
    </xf>
    <xf numFmtId="165" fontId="24" fillId="0" borderId="16" xfId="79" applyFont="1" applyFill="1" applyBorder="1" applyAlignment="1" applyProtection="1">
      <alignment horizontal="center" wrapText="1"/>
      <protection/>
    </xf>
    <xf numFmtId="165" fontId="24" fillId="35" borderId="16" xfId="79" applyFont="1" applyFill="1" applyBorder="1" applyAlignment="1" applyProtection="1">
      <alignment horizontal="center" wrapText="1"/>
      <protection/>
    </xf>
    <xf numFmtId="165" fontId="24" fillId="38" borderId="16" xfId="79" applyNumberFormat="1" applyFont="1" applyFill="1" applyBorder="1" applyAlignment="1" applyProtection="1">
      <alignment horizontal="center" wrapText="1"/>
      <protection locked="0"/>
    </xf>
    <xf numFmtId="165" fontId="24" fillId="38" borderId="16" xfId="79" applyFont="1" applyFill="1" applyBorder="1" applyAlignment="1" applyProtection="1">
      <alignment horizontal="center" wrapText="1"/>
      <protection/>
    </xf>
    <xf numFmtId="165" fontId="24" fillId="42" borderId="16" xfId="79" applyNumberFormat="1" applyFont="1" applyFill="1" applyBorder="1" applyAlignment="1" applyProtection="1">
      <alignment horizontal="center" wrapText="1"/>
      <protection locked="0"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7" fillId="42" borderId="14" xfId="0" applyFont="1" applyFill="1" applyBorder="1" applyAlignment="1" applyProtection="1">
      <alignment horizontal="center" vertical="center"/>
      <protection/>
    </xf>
    <xf numFmtId="0" fontId="26" fillId="42" borderId="19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165" fontId="24" fillId="42" borderId="21" xfId="79" applyNumberFormat="1" applyFont="1" applyFill="1" applyBorder="1" applyAlignment="1" applyProtection="1">
      <alignment horizontal="center" wrapText="1"/>
      <protection locked="0"/>
    </xf>
    <xf numFmtId="165" fontId="24" fillId="42" borderId="21" xfId="79" applyNumberFormat="1" applyFont="1" applyFill="1" applyBorder="1" applyAlignment="1" applyProtection="1">
      <alignment horizontal="center" vertical="top" wrapText="1"/>
      <protection locked="0"/>
    </xf>
    <xf numFmtId="165" fontId="24" fillId="42" borderId="16" xfId="79" applyNumberFormat="1" applyFont="1" applyFill="1" applyBorder="1" applyAlignment="1" applyProtection="1">
      <alignment horizontal="center" vertical="top" wrapText="1"/>
      <protection locked="0"/>
    </xf>
    <xf numFmtId="165" fontId="24" fillId="42" borderId="18" xfId="79" applyFont="1" applyFill="1" applyBorder="1" applyAlignment="1" applyProtection="1">
      <alignment horizontal="center" wrapText="1"/>
      <protection locked="0"/>
    </xf>
    <xf numFmtId="165" fontId="24" fillId="42" borderId="18" xfId="79" applyFont="1" applyFill="1" applyBorder="1" applyAlignment="1" applyProtection="1">
      <alignment horizontal="center" vertical="top" wrapText="1"/>
      <protection locked="0"/>
    </xf>
    <xf numFmtId="165" fontId="24" fillId="42" borderId="18" xfId="79" applyNumberFormat="1" applyFont="1" applyFill="1" applyBorder="1" applyAlignment="1" applyProtection="1">
      <alignment horizontal="center" vertical="top" wrapText="1"/>
      <protection locked="0"/>
    </xf>
    <xf numFmtId="0" fontId="27" fillId="42" borderId="12" xfId="0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 wrapText="1"/>
      <protection/>
    </xf>
    <xf numFmtId="165" fontId="24" fillId="42" borderId="22" xfId="79" applyFont="1" applyFill="1" applyBorder="1" applyAlignment="1" applyProtection="1">
      <alignment horizontal="center" vertical="top" wrapText="1"/>
      <protection locked="0"/>
    </xf>
    <xf numFmtId="165" fontId="24" fillId="42" borderId="22" xfId="79" applyFont="1" applyFill="1" applyBorder="1" applyAlignment="1" applyProtection="1">
      <alignment horizontal="center" vertical="center"/>
      <protection/>
    </xf>
    <xf numFmtId="165" fontId="24" fillId="42" borderId="22" xfId="79" applyFont="1" applyFill="1" applyBorder="1" applyAlignment="1" applyProtection="1">
      <alignment horizontal="center" vertical="center" wrapText="1"/>
      <protection/>
    </xf>
    <xf numFmtId="165" fontId="24" fillId="38" borderId="16" xfId="79" applyFont="1" applyFill="1" applyBorder="1" applyAlignment="1" applyProtection="1">
      <alignment horizontal="center" vertical="center"/>
      <protection/>
    </xf>
    <xf numFmtId="165" fontId="24" fillId="35" borderId="16" xfId="79" applyFont="1" applyFill="1" applyBorder="1" applyAlignment="1" applyProtection="1">
      <alignment horizontal="center" vertical="center"/>
      <protection/>
    </xf>
    <xf numFmtId="37" fontId="27" fillId="42" borderId="11" xfId="0" applyNumberFormat="1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 wrapText="1"/>
      <protection/>
    </xf>
    <xf numFmtId="165" fontId="26" fillId="42" borderId="22" xfId="79" applyFont="1" applyFill="1" applyBorder="1" applyAlignment="1" applyProtection="1">
      <alignment horizontal="center"/>
      <protection/>
    </xf>
    <xf numFmtId="165" fontId="24" fillId="42" borderId="22" xfId="79" applyFont="1" applyFill="1" applyBorder="1" applyAlignment="1" applyProtection="1">
      <alignment horizontal="center" wrapText="1"/>
      <protection/>
    </xf>
    <xf numFmtId="165" fontId="24" fillId="42" borderId="16" xfId="79" applyFont="1" applyFill="1" applyBorder="1" applyAlignment="1" applyProtection="1">
      <alignment horizont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2" borderId="25" xfId="0" applyFont="1" applyFill="1" applyBorder="1" applyAlignment="1" applyProtection="1">
      <alignment horizontal="center" vertical="center"/>
      <protection/>
    </xf>
    <xf numFmtId="0" fontId="27" fillId="42" borderId="12" xfId="0" applyFont="1" applyFill="1" applyBorder="1" applyAlignment="1" applyProtection="1">
      <alignment horizontal="center" vertical="center"/>
      <protection/>
    </xf>
    <xf numFmtId="0" fontId="24" fillId="42" borderId="22" xfId="0" applyFont="1" applyFill="1" applyBorder="1" applyAlignment="1" applyProtection="1">
      <alignment horizontal="center" vertical="center" wrapText="1"/>
      <protection/>
    </xf>
    <xf numFmtId="0" fontId="24" fillId="42" borderId="22" xfId="0" applyNumberFormat="1" applyFont="1" applyFill="1" applyBorder="1" applyAlignment="1" applyProtection="1">
      <alignment horizontal="center"/>
      <protection locked="0"/>
    </xf>
    <xf numFmtId="0" fontId="15" fillId="42" borderId="24" xfId="0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165" fontId="24" fillId="0" borderId="22" xfId="0" applyNumberFormat="1" applyFont="1" applyFill="1" applyBorder="1" applyAlignment="1" applyProtection="1">
      <alignment horizontal="center"/>
      <protection/>
    </xf>
    <xf numFmtId="0" fontId="39" fillId="42" borderId="21" xfId="0" applyFont="1" applyFill="1" applyBorder="1" applyAlignment="1" applyProtection="1">
      <alignment horizontal="center" wrapText="1"/>
      <protection locked="0"/>
    </xf>
    <xf numFmtId="49" fontId="24" fillId="42" borderId="23" xfId="0" applyNumberFormat="1" applyFont="1" applyFill="1" applyBorder="1" applyAlignment="1" applyProtection="1">
      <alignment horizontal="center" wrapText="1"/>
      <protection locked="0"/>
    </xf>
    <xf numFmtId="49" fontId="24" fillId="42" borderId="21" xfId="0" applyNumberFormat="1" applyFont="1" applyFill="1" applyBorder="1" applyAlignment="1" applyProtection="1">
      <alignment horizontal="center" wrapText="1"/>
      <protection locked="0"/>
    </xf>
    <xf numFmtId="0" fontId="24" fillId="42" borderId="18" xfId="0" applyFont="1" applyFill="1" applyBorder="1" applyAlignment="1" applyProtection="1">
      <alignment horizontal="center" vertical="center" wrapText="1"/>
      <protection/>
    </xf>
    <xf numFmtId="49" fontId="24" fillId="42" borderId="14" xfId="0" applyNumberFormat="1" applyFont="1" applyFill="1" applyBorder="1" applyAlignment="1" applyProtection="1">
      <alignment horizontal="center" vertical="center" wrapText="1"/>
      <protection/>
    </xf>
    <xf numFmtId="49" fontId="24" fillId="42" borderId="18" xfId="0" applyNumberFormat="1" applyFont="1" applyFill="1" applyBorder="1" applyAlignment="1" applyProtection="1">
      <alignment horizontal="center" vertical="center" wrapText="1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27" fillId="48" borderId="25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 wrapText="1"/>
    </xf>
    <xf numFmtId="40" fontId="24" fillId="0" borderId="32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left" vertical="center" wrapText="1"/>
    </xf>
    <xf numFmtId="0" fontId="27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/>
    </xf>
    <xf numFmtId="0" fontId="24" fillId="48" borderId="18" xfId="0" applyFont="1" applyFill="1" applyBorder="1" applyAlignment="1">
      <alignment horizontal="center" vertical="center"/>
    </xf>
    <xf numFmtId="40" fontId="24" fillId="0" borderId="25" xfId="0" applyNumberFormat="1" applyFont="1" applyBorder="1" applyAlignment="1" applyProtection="1">
      <alignment horizontal="right" vertical="center"/>
      <protection locked="0"/>
    </xf>
    <xf numFmtId="40" fontId="24" fillId="0" borderId="22" xfId="0" applyNumberFormat="1" applyFont="1" applyBorder="1" applyAlignment="1" applyProtection="1">
      <alignment horizontal="right"/>
      <protection locked="0"/>
    </xf>
    <xf numFmtId="0" fontId="24" fillId="48" borderId="22" xfId="0" applyFont="1" applyFill="1" applyBorder="1" applyAlignment="1">
      <alignment horizontal="center" vertical="top" wrapText="1"/>
    </xf>
    <xf numFmtId="3" fontId="27" fillId="48" borderId="25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40" fontId="24" fillId="0" borderId="19" xfId="0" applyNumberFormat="1" applyFont="1" applyBorder="1" applyAlignment="1" applyProtection="1">
      <alignment horizontal="right" vertical="center"/>
      <protection locked="0"/>
    </xf>
    <xf numFmtId="40" fontId="26" fillId="22" borderId="32" xfId="0" applyNumberFormat="1" applyFont="1" applyFill="1" applyBorder="1" applyAlignment="1" applyProtection="1">
      <alignment horizontal="right" vertical="center"/>
      <protection/>
    </xf>
    <xf numFmtId="40" fontId="26" fillId="48" borderId="27" xfId="0" applyNumberFormat="1" applyFont="1" applyFill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 vertical="center" wrapText="1"/>
    </xf>
    <xf numFmtId="40" fontId="24" fillId="0" borderId="22" xfId="0" applyNumberFormat="1" applyFont="1" applyBorder="1" applyAlignment="1" applyProtection="1">
      <alignment horizontal="right" wrapText="1"/>
      <protection locked="0"/>
    </xf>
    <xf numFmtId="3" fontId="27" fillId="48" borderId="21" xfId="0" applyNumberFormat="1" applyFont="1" applyFill="1" applyBorder="1" applyAlignment="1">
      <alignment horizontal="center" vertical="center"/>
    </xf>
    <xf numFmtId="3" fontId="24" fillId="48" borderId="18" xfId="0" applyNumberFormat="1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19" xfId="0" applyFont="1" applyFill="1" applyBorder="1" applyAlignment="1">
      <alignment horizontal="center" vertical="center" wrapText="1"/>
    </xf>
    <xf numFmtId="170" fontId="26" fillId="22" borderId="32" xfId="0" applyNumberFormat="1" applyFont="1" applyFill="1" applyBorder="1" applyAlignment="1" applyProtection="1">
      <alignment horizontal="right" vertical="center"/>
      <protection/>
    </xf>
    <xf numFmtId="0" fontId="26" fillId="48" borderId="22" xfId="0" applyFont="1" applyFill="1" applyBorder="1" applyAlignment="1">
      <alignment horizontal="center" vertical="center"/>
    </xf>
    <xf numFmtId="168" fontId="24" fillId="48" borderId="22" xfId="0" applyNumberFormat="1" applyFont="1" applyFill="1" applyBorder="1" applyAlignment="1">
      <alignment horizontal="center" vertical="center"/>
    </xf>
    <xf numFmtId="40" fontId="24" fillId="0" borderId="29" xfId="0" applyNumberFormat="1" applyFont="1" applyBorder="1" applyAlignment="1" applyProtection="1">
      <alignment horizontal="right" vertical="center"/>
      <protection locked="0"/>
    </xf>
    <xf numFmtId="40" fontId="24" fillId="0" borderId="30" xfId="0" applyNumberFormat="1" applyFont="1" applyBorder="1" applyAlignment="1" applyProtection="1">
      <alignment horizontal="right" vertical="center"/>
      <protection locked="0"/>
    </xf>
    <xf numFmtId="40" fontId="24" fillId="0" borderId="33" xfId="0" applyNumberFormat="1" applyFont="1" applyBorder="1" applyAlignment="1" applyProtection="1">
      <alignment horizontal="right" vertical="center"/>
      <protection locked="0"/>
    </xf>
    <xf numFmtId="40" fontId="26" fillId="22" borderId="34" xfId="0" applyNumberFormat="1" applyFont="1" applyFill="1" applyBorder="1" applyAlignment="1" applyProtection="1">
      <alignment horizontal="right" vertical="center"/>
      <protection/>
    </xf>
    <xf numFmtId="40" fontId="26" fillId="22" borderId="29" xfId="0" applyNumberFormat="1" applyFont="1" applyFill="1" applyBorder="1" applyAlignment="1" applyProtection="1">
      <alignment horizontal="right" vertical="center"/>
      <protection/>
    </xf>
    <xf numFmtId="0" fontId="40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wrapText="1"/>
    </xf>
    <xf numFmtId="49" fontId="24" fillId="48" borderId="21" xfId="0" applyNumberFormat="1" applyFont="1" applyFill="1" applyBorder="1" applyAlignment="1">
      <alignment horizontal="center" wrapText="1"/>
    </xf>
    <xf numFmtId="49" fontId="24" fillId="48" borderId="18" xfId="0" applyNumberFormat="1" applyFont="1" applyFill="1" applyBorder="1" applyAlignment="1">
      <alignment horizontal="center" vertical="center" wrapText="1"/>
    </xf>
    <xf numFmtId="40" fontId="24" fillId="0" borderId="27" xfId="0" applyNumberFormat="1" applyFont="1" applyBorder="1" applyAlignment="1" applyProtection="1">
      <alignment horizontal="right" vertical="center"/>
      <protection locked="0"/>
    </xf>
    <xf numFmtId="170" fontId="26" fillId="22" borderId="22" xfId="0" applyNumberFormat="1" applyFont="1" applyFill="1" applyBorder="1" applyAlignment="1" applyProtection="1">
      <alignment horizontal="right" vertical="center"/>
      <protection/>
    </xf>
    <xf numFmtId="3" fontId="26" fillId="48" borderId="22" xfId="0" applyNumberFormat="1" applyFont="1" applyFill="1" applyBorder="1" applyAlignment="1">
      <alignment horizontal="center" vertical="center"/>
    </xf>
    <xf numFmtId="40" fontId="26" fillId="0" borderId="22" xfId="0" applyNumberFormat="1" applyFont="1" applyBorder="1" applyAlignment="1" applyProtection="1">
      <alignment horizontal="right" vertical="center"/>
      <protection locked="0"/>
    </xf>
    <xf numFmtId="165" fontId="24" fillId="0" borderId="22" xfId="0" applyNumberFormat="1" applyFont="1" applyBorder="1" applyAlignment="1" applyProtection="1">
      <alignment horizontal="right"/>
      <protection locked="0"/>
    </xf>
    <xf numFmtId="0" fontId="24" fillId="48" borderId="22" xfId="0" applyFont="1" applyFill="1" applyBorder="1" applyAlignment="1">
      <alignment horizontal="center"/>
    </xf>
    <xf numFmtId="0" fontId="24" fillId="48" borderId="35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center" vertical="center" wrapText="1"/>
    </xf>
    <xf numFmtId="40" fontId="24" fillId="22" borderId="29" xfId="0" applyNumberFormat="1" applyFont="1" applyFill="1" applyBorder="1" applyAlignment="1" applyProtection="1">
      <alignment horizontal="right" vertical="center"/>
      <protection locked="0"/>
    </xf>
    <xf numFmtId="40" fontId="24" fillId="43" borderId="29" xfId="0" applyNumberFormat="1" applyFont="1" applyFill="1" applyBorder="1" applyAlignment="1">
      <alignment horizontal="right" vertical="center"/>
    </xf>
    <xf numFmtId="40" fontId="26" fillId="47" borderId="18" xfId="0" applyNumberFormat="1" applyFont="1" applyFill="1" applyBorder="1" applyAlignment="1">
      <alignment horizontal="right" vertical="center"/>
    </xf>
    <xf numFmtId="40" fontId="24" fillId="47" borderId="29" xfId="0" applyNumberFormat="1" applyFont="1" applyFill="1" applyBorder="1" applyAlignment="1">
      <alignment horizontal="right" vertical="center"/>
    </xf>
    <xf numFmtId="40" fontId="24" fillId="43" borderId="16" xfId="0" applyNumberFormat="1" applyFont="1" applyFill="1" applyBorder="1" applyAlignment="1">
      <alignment horizontal="right" vertical="center"/>
    </xf>
    <xf numFmtId="40" fontId="24" fillId="47" borderId="16" xfId="0" applyNumberFormat="1" applyFont="1" applyFill="1" applyBorder="1" applyAlignment="1">
      <alignment horizontal="right" vertical="center"/>
    </xf>
    <xf numFmtId="40" fontId="24" fillId="22" borderId="29" xfId="0" applyNumberFormat="1" applyFont="1" applyFill="1" applyBorder="1" applyAlignment="1" applyProtection="1">
      <alignment vertical="center"/>
      <protection locked="0"/>
    </xf>
    <xf numFmtId="0" fontId="24" fillId="48" borderId="33" xfId="0" applyFont="1" applyFill="1" applyBorder="1" applyAlignment="1">
      <alignment horizontal="center" vertical="center" wrapText="1"/>
    </xf>
    <xf numFmtId="0" fontId="24" fillId="48" borderId="36" xfId="0" applyFont="1" applyFill="1" applyBorder="1" applyAlignment="1">
      <alignment horizontal="center" vertical="center" wrapText="1"/>
    </xf>
    <xf numFmtId="40" fontId="24" fillId="47" borderId="21" xfId="0" applyNumberFormat="1" applyFont="1" applyFill="1" applyBorder="1" applyAlignment="1">
      <alignment horizontal="right" vertical="center"/>
    </xf>
    <xf numFmtId="0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42" borderId="22" xfId="0" applyFont="1" applyFill="1" applyBorder="1" applyAlignment="1" applyProtection="1">
      <alignment horizontal="center" vertical="center"/>
      <protection/>
    </xf>
    <xf numFmtId="0" fontId="26" fillId="42" borderId="21" xfId="72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72" applyNumberFormat="1" applyFont="1" applyFill="1" applyBorder="1" applyAlignment="1" applyProtection="1">
      <alignment horizontal="left"/>
      <protection locked="0"/>
    </xf>
    <xf numFmtId="0" fontId="46" fillId="0" borderId="0" xfId="72" applyNumberFormat="1" applyFont="1" applyFill="1" applyBorder="1" applyAlignment="1" applyProtection="1">
      <alignment horizontal="left"/>
      <protection/>
    </xf>
    <xf numFmtId="0" fontId="46" fillId="0" borderId="0" xfId="72" applyNumberFormat="1" applyFont="1" applyFill="1" applyBorder="1" applyAlignment="1" applyProtection="1">
      <alignment horizontal="left" wrapText="1"/>
      <protection/>
    </xf>
    <xf numFmtId="0" fontId="31" fillId="0" borderId="16" xfId="72" applyNumberFormat="1" applyFont="1" applyBorder="1" applyAlignment="1" applyProtection="1">
      <alignment horizontal="left" vertical="top" wrapText="1"/>
      <protection/>
    </xf>
    <xf numFmtId="165" fontId="24" fillId="42" borderId="13" xfId="72" applyNumberFormat="1" applyFont="1" applyFill="1" applyBorder="1" applyAlignment="1" applyProtection="1">
      <alignment horizontal="center" vertical="top" wrapText="1"/>
      <protection locked="0"/>
    </xf>
    <xf numFmtId="165" fontId="24" fillId="42" borderId="17" xfId="72" applyNumberFormat="1" applyFont="1" applyFill="1" applyBorder="1" applyAlignment="1" applyProtection="1">
      <alignment horizontal="center" vertical="top" wrapText="1"/>
      <protection locked="0"/>
    </xf>
    <xf numFmtId="0" fontId="24" fillId="0" borderId="18" xfId="72" applyNumberFormat="1" applyFont="1" applyBorder="1" applyAlignment="1" applyProtection="1">
      <alignment horizontal="left" vertical="top" wrapText="1"/>
      <protection/>
    </xf>
    <xf numFmtId="165" fontId="24" fillId="0" borderId="14" xfId="79" applyFont="1" applyFill="1" applyBorder="1" applyAlignment="1" applyProtection="1">
      <alignment horizontal="center" vertical="top" wrapText="1"/>
      <protection/>
    </xf>
    <xf numFmtId="165" fontId="24" fillId="0" borderId="15" xfId="79" applyFont="1" applyFill="1" applyBorder="1" applyAlignment="1" applyProtection="1">
      <alignment horizontal="center" vertical="top" wrapText="1"/>
      <protection/>
    </xf>
    <xf numFmtId="0" fontId="24" fillId="0" borderId="16" xfId="72" applyNumberFormat="1" applyFont="1" applyBorder="1" applyAlignment="1" applyProtection="1">
      <alignment horizontal="left" vertical="top" wrapText="1"/>
      <protection/>
    </xf>
    <xf numFmtId="165" fontId="24" fillId="0" borderId="13" xfId="79" applyFont="1" applyFill="1" applyBorder="1" applyAlignment="1" applyProtection="1">
      <alignment horizontal="center" vertical="top" wrapText="1"/>
      <protection/>
    </xf>
    <xf numFmtId="165" fontId="24" fillId="0" borderId="0" xfId="79" applyFont="1" applyFill="1" applyBorder="1" applyAlignment="1" applyProtection="1">
      <alignment horizontal="center" vertical="top" wrapText="1"/>
      <protection/>
    </xf>
    <xf numFmtId="0" fontId="24" fillId="0" borderId="16" xfId="72" applyFont="1" applyBorder="1" applyAlignment="1" applyProtection="1">
      <alignment horizontal="left" vertical="top" wrapText="1"/>
      <protection/>
    </xf>
    <xf numFmtId="165" fontId="24" fillId="42" borderId="16" xfId="72" applyNumberFormat="1" applyFont="1" applyFill="1" applyBorder="1" applyAlignment="1" applyProtection="1">
      <alignment horizontal="center"/>
      <protection locked="0"/>
    </xf>
    <xf numFmtId="165" fontId="24" fillId="42" borderId="17" xfId="72" applyNumberFormat="1" applyFont="1" applyFill="1" applyBorder="1" applyAlignment="1" applyProtection="1">
      <alignment horizontal="center"/>
      <protection locked="0"/>
    </xf>
    <xf numFmtId="165" fontId="24" fillId="42" borderId="16" xfId="72" applyNumberFormat="1" applyFont="1" applyFill="1" applyBorder="1" applyAlignment="1" applyProtection="1">
      <alignment horizontal="center" vertical="top" wrapText="1"/>
      <protection locked="0"/>
    </xf>
    <xf numFmtId="0" fontId="24" fillId="42" borderId="22" xfId="72" applyNumberFormat="1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/>
      <protection/>
    </xf>
    <xf numFmtId="0" fontId="24" fillId="42" borderId="25" xfId="72" applyFont="1" applyFill="1" applyBorder="1" applyAlignment="1" applyProtection="1">
      <alignment horizontal="center" vertical="center"/>
      <protection/>
    </xf>
    <xf numFmtId="0" fontId="24" fillId="0" borderId="21" xfId="72" applyFont="1" applyBorder="1" applyAlignment="1" applyProtection="1">
      <alignment horizontal="left" vertical="top" wrapText="1"/>
      <protection locked="0"/>
    </xf>
    <xf numFmtId="165" fontId="24" fillId="42" borderId="21" xfId="72" applyNumberFormat="1" applyFont="1" applyFill="1" applyBorder="1" applyAlignment="1" applyProtection="1">
      <alignment horizontal="center" vertical="top" wrapText="1"/>
      <protection locked="0"/>
    </xf>
    <xf numFmtId="165" fontId="24" fillId="42" borderId="20" xfId="72" applyNumberFormat="1" applyFont="1" applyFill="1" applyBorder="1" applyAlignment="1" applyProtection="1">
      <alignment horizontal="center" vertical="top" wrapText="1"/>
      <protection locked="0"/>
    </xf>
    <xf numFmtId="0" fontId="24" fillId="0" borderId="13" xfId="72" applyFont="1" applyFill="1" applyBorder="1" applyAlignment="1" applyProtection="1">
      <alignment horizontal="left" vertical="center"/>
      <protection/>
    </xf>
    <xf numFmtId="165" fontId="24" fillId="42" borderId="17" xfId="79" applyNumberFormat="1" applyFont="1" applyFill="1" applyBorder="1" applyAlignment="1" applyProtection="1">
      <alignment horizontal="center"/>
      <protection locked="0"/>
    </xf>
    <xf numFmtId="0" fontId="24" fillId="0" borderId="14" xfId="72" applyFont="1" applyFill="1" applyBorder="1" applyAlignment="1" applyProtection="1">
      <alignment horizontal="left" vertical="center"/>
      <protection/>
    </xf>
    <xf numFmtId="165" fontId="24" fillId="42" borderId="18" xfId="79" applyNumberFormat="1" applyFont="1" applyFill="1" applyBorder="1" applyAlignment="1" applyProtection="1">
      <alignment horizontal="center"/>
      <protection locked="0"/>
    </xf>
    <xf numFmtId="165" fontId="24" fillId="42" borderId="19" xfId="79" applyNumberFormat="1" applyFont="1" applyFill="1" applyBorder="1" applyAlignment="1" applyProtection="1">
      <alignment horizontal="center"/>
      <protection locked="0"/>
    </xf>
    <xf numFmtId="0" fontId="24" fillId="42" borderId="11" xfId="72" applyFont="1" applyFill="1" applyBorder="1" applyAlignment="1" applyProtection="1">
      <alignment horizontal="center" vertical="center" wrapText="1"/>
      <protection/>
    </xf>
    <xf numFmtId="0" fontId="24" fillId="42" borderId="25" xfId="72" applyFont="1" applyFill="1" applyBorder="1" applyAlignment="1" applyProtection="1">
      <alignment horizontal="center" vertical="center"/>
      <protection locked="0"/>
    </xf>
    <xf numFmtId="0" fontId="24" fillId="0" borderId="23" xfId="72" applyFont="1" applyFill="1" applyBorder="1" applyAlignment="1" applyProtection="1">
      <alignment horizontal="left" vertical="center"/>
      <protection/>
    </xf>
    <xf numFmtId="165" fontId="24" fillId="0" borderId="20" xfId="79" applyFont="1" applyFill="1" applyBorder="1" applyAlignment="1" applyProtection="1">
      <alignment horizontal="center"/>
      <protection/>
    </xf>
    <xf numFmtId="0" fontId="27" fillId="42" borderId="24" xfId="72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 wrapText="1"/>
      <protection/>
    </xf>
    <xf numFmtId="0" fontId="24" fillId="42" borderId="20" xfId="73" applyFont="1" applyFill="1" applyBorder="1" applyAlignment="1" applyProtection="1">
      <alignment horizontal="center" vertical="center" wrapText="1"/>
      <protection/>
    </xf>
    <xf numFmtId="0" fontId="24" fillId="0" borderId="15" xfId="72" applyFont="1" applyBorder="1" applyAlignment="1" applyProtection="1">
      <alignment horizontal="left" vertical="center" wrapText="1"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65" fontId="24" fillId="0" borderId="25" xfId="72" applyNumberFormat="1" applyFont="1" applyFill="1" applyBorder="1" applyAlignment="1" applyProtection="1">
      <alignment horizontal="center"/>
      <protection/>
    </xf>
    <xf numFmtId="165" fontId="12" fillId="0" borderId="25" xfId="72" applyNumberFormat="1" applyFont="1" applyFill="1" applyBorder="1" applyAlignment="1" applyProtection="1">
      <alignment horizontal="center"/>
      <protection/>
    </xf>
    <xf numFmtId="0" fontId="24" fillId="0" borderId="11" xfId="72" applyFont="1" applyBorder="1" applyAlignment="1" applyProtection="1">
      <alignment horizontal="left" vertical="center" wrapText="1"/>
      <protection/>
    </xf>
    <xf numFmtId="10" fontId="24" fillId="0" borderId="25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left" vertical="center" wrapText="1"/>
      <protection/>
    </xf>
    <xf numFmtId="0" fontId="24" fillId="42" borderId="25" xfId="72" applyFont="1" applyFill="1" applyBorder="1" applyAlignment="1" applyProtection="1">
      <alignment horizontal="center" vertical="center" wrapText="1"/>
      <protection/>
    </xf>
    <xf numFmtId="165" fontId="24" fillId="0" borderId="20" xfId="72" applyNumberFormat="1" applyFont="1" applyFill="1" applyBorder="1" applyAlignment="1" applyProtection="1">
      <alignment horizontal="center" vertical="center"/>
      <protection/>
    </xf>
    <xf numFmtId="0" fontId="31" fillId="0" borderId="0" xfId="72" applyFont="1" applyBorder="1" applyAlignment="1" applyProtection="1">
      <alignment horizontal="left" vertical="center" wrapText="1"/>
      <protection/>
    </xf>
    <xf numFmtId="165" fontId="24" fillId="0" borderId="17" xfId="79" applyFont="1" applyFill="1" applyBorder="1" applyAlignment="1" applyProtection="1">
      <alignment horizontal="center" vertical="center"/>
      <protection/>
    </xf>
    <xf numFmtId="0" fontId="27" fillId="42" borderId="15" xfId="72" applyFont="1" applyFill="1" applyBorder="1" applyAlignment="1" applyProtection="1">
      <alignment horizontal="center" vertical="center"/>
      <protection/>
    </xf>
    <xf numFmtId="0" fontId="24" fillId="0" borderId="13" xfId="72" applyFont="1" applyBorder="1" applyAlignment="1" applyProtection="1">
      <alignment horizontal="left" vertical="center" wrapText="1"/>
      <protection locked="0"/>
    </xf>
    <xf numFmtId="165" fontId="24" fillId="42" borderId="20" xfId="79" applyFont="1" applyFill="1" applyBorder="1" applyAlignment="1" applyProtection="1">
      <alignment horizontal="center"/>
      <protection locked="0"/>
    </xf>
    <xf numFmtId="0" fontId="24" fillId="0" borderId="14" xfId="72" applyFont="1" applyBorder="1" applyAlignment="1" applyProtection="1">
      <alignment horizontal="left" vertical="center" wrapText="1"/>
      <protection locked="0"/>
    </xf>
    <xf numFmtId="165" fontId="24" fillId="42" borderId="19" xfId="79" applyFont="1" applyFill="1" applyBorder="1" applyAlignment="1" applyProtection="1">
      <alignment horizontal="center"/>
      <protection locked="0"/>
    </xf>
    <xf numFmtId="10" fontId="24" fillId="0" borderId="17" xfId="77" applyNumberFormat="1" applyFont="1" applyFill="1" applyBorder="1" applyAlignment="1" applyProtection="1">
      <alignment horizontal="center"/>
      <protection/>
    </xf>
    <xf numFmtId="0" fontId="24" fillId="0" borderId="14" xfId="72" applyFont="1" applyFill="1" applyBorder="1" applyAlignment="1" applyProtection="1">
      <alignment horizontal="left" vertical="top" wrapText="1"/>
      <protection/>
    </xf>
    <xf numFmtId="10" fontId="24" fillId="0" borderId="19" xfId="72" applyNumberFormat="1" applyFont="1" applyFill="1" applyBorder="1" applyAlignment="1" applyProtection="1">
      <alignment horizontal="center"/>
      <protection/>
    </xf>
    <xf numFmtId="165" fontId="24" fillId="42" borderId="17" xfId="79" applyFont="1" applyFill="1" applyBorder="1" applyAlignment="1" applyProtection="1">
      <alignment horizontal="center" vertical="top" wrapText="1"/>
      <protection locked="0"/>
    </xf>
    <xf numFmtId="0" fontId="24" fillId="0" borderId="0" xfId="72" applyFont="1" applyBorder="1" applyAlignment="1" applyProtection="1">
      <alignment horizontal="left" vertical="top" wrapText="1"/>
      <protection/>
    </xf>
    <xf numFmtId="165" fontId="24" fillId="0" borderId="17" xfId="79" applyFont="1" applyFill="1" applyBorder="1" applyAlignment="1" applyProtection="1">
      <alignment horizontal="center" vertical="top" wrapText="1"/>
      <protection/>
    </xf>
    <xf numFmtId="165" fontId="24" fillId="0" borderId="25" xfId="72" applyNumberFormat="1" applyFont="1" applyBorder="1" applyAlignment="1" applyProtection="1">
      <alignment horizontal="center" vertical="top" wrapText="1"/>
      <protection/>
    </xf>
    <xf numFmtId="0" fontId="24" fillId="42" borderId="12" xfId="72" applyFont="1" applyFill="1" applyBorder="1" applyAlignment="1" applyProtection="1">
      <alignment horizontal="center" vertical="center" wrapText="1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5" fontId="24" fillId="0" borderId="20" xfId="79" applyFont="1" applyFill="1" applyBorder="1" applyAlignment="1" applyProtection="1">
      <alignment horizontal="center" vertical="top" wrapText="1"/>
      <protection/>
    </xf>
    <xf numFmtId="0" fontId="24" fillId="0" borderId="11" xfId="72" applyFont="1" applyFill="1" applyBorder="1" applyAlignment="1" applyProtection="1">
      <alignment horizontal="left" vertical="top" wrapText="1"/>
      <protection/>
    </xf>
    <xf numFmtId="165" fontId="24" fillId="0" borderId="22" xfId="79" applyFont="1" applyFill="1" applyBorder="1" applyAlignment="1" applyProtection="1">
      <alignment horizontal="center" vertical="top" wrapText="1"/>
      <protection/>
    </xf>
    <xf numFmtId="0" fontId="26" fillId="21" borderId="25" xfId="72" applyFont="1" applyFill="1" applyBorder="1" applyAlignment="1" applyProtection="1">
      <alignment horizontal="center"/>
      <protection/>
    </xf>
    <xf numFmtId="0" fontId="24" fillId="0" borderId="15" xfId="72" applyFont="1" applyFill="1" applyBorder="1" applyAlignment="1" applyProtection="1">
      <alignment horizontal="left" vertical="top" wrapText="1"/>
      <protection/>
    </xf>
    <xf numFmtId="0" fontId="24" fillId="42" borderId="11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 vertical="center" wrapText="1"/>
      <protection/>
    </xf>
    <xf numFmtId="165" fontId="24" fillId="0" borderId="22" xfId="72" applyNumberFormat="1" applyFont="1" applyFill="1" applyBorder="1" applyAlignment="1" applyProtection="1">
      <alignment horizontal="center"/>
      <protection/>
    </xf>
    <xf numFmtId="0" fontId="27" fillId="42" borderId="12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25" xfId="72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42" borderId="18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 vertical="center"/>
      <protection/>
    </xf>
    <xf numFmtId="165" fontId="24" fillId="0" borderId="16" xfId="72" applyNumberFormat="1" applyFont="1" applyFill="1" applyBorder="1" applyAlignment="1" applyProtection="1">
      <alignment horizontal="center"/>
      <protection/>
    </xf>
    <xf numFmtId="0" fontId="26" fillId="0" borderId="0" xfId="72" applyFont="1" applyFill="1" applyBorder="1" applyAlignment="1" applyProtection="1">
      <alignment horizontal="left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24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4" fillId="0" borderId="15" xfId="72" applyFont="1" applyFill="1" applyBorder="1" applyAlignment="1" applyProtection="1">
      <alignment horizontal="left" wrapText="1"/>
      <protection/>
    </xf>
    <xf numFmtId="165" fontId="0" fillId="42" borderId="19" xfId="79" applyFont="1" applyFill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5" fontId="0" fillId="0" borderId="25" xfId="79" applyFont="1" applyFill="1" applyBorder="1" applyAlignment="1" applyProtection="1">
      <alignment horizontal="center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5" fontId="0" fillId="42" borderId="17" xfId="79" applyFont="1" applyFill="1" applyBorder="1" applyAlignment="1" applyProtection="1">
      <alignment horizontal="center"/>
      <protection locked="0"/>
    </xf>
    <xf numFmtId="0" fontId="24" fillId="0" borderId="22" xfId="72" applyFont="1" applyFill="1" applyBorder="1" applyAlignment="1" applyProtection="1">
      <alignment horizontal="center" vertical="center"/>
      <protection/>
    </xf>
    <xf numFmtId="0" fontId="24" fillId="0" borderId="25" xfId="72" applyFont="1" applyFill="1" applyBorder="1" applyAlignment="1" applyProtection="1">
      <alignment horizontal="center" vertical="center"/>
      <protection/>
    </xf>
    <xf numFmtId="165" fontId="0" fillId="42" borderId="20" xfId="79" applyFont="1" applyFill="1" applyBorder="1" applyAlignment="1" applyProtection="1">
      <alignment horizontal="center"/>
      <protection locked="0"/>
    </xf>
    <xf numFmtId="0" fontId="32" fillId="0" borderId="13" xfId="72" applyFont="1" applyFill="1" applyBorder="1" applyAlignment="1" applyProtection="1">
      <alignment horizontal="left" wrapText="1"/>
      <protection/>
    </xf>
    <xf numFmtId="165" fontId="51" fillId="42" borderId="17" xfId="79" applyFont="1" applyFill="1" applyBorder="1" applyAlignment="1" applyProtection="1">
      <alignment horizontal="center"/>
      <protection locked="0"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6" fillId="42" borderId="15" xfId="72" applyFont="1" applyFill="1" applyBorder="1" applyAlignment="1" applyProtection="1">
      <alignment horizontal="center"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4" fillId="42" borderId="20" xfId="73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vertical="center"/>
      <protection/>
    </xf>
    <xf numFmtId="0" fontId="25" fillId="0" borderId="0" xfId="72" applyFont="1" applyFill="1" applyBorder="1" applyAlignment="1" applyProtection="1">
      <alignment vertical="top" wrapText="1"/>
      <protection/>
    </xf>
    <xf numFmtId="0" fontId="24" fillId="0" borderId="0" xfId="72" applyNumberFormat="1" applyFont="1" applyFill="1" applyBorder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>
      <alignment horizontal="justify" vertical="top" wrapText="1"/>
      <protection/>
    </xf>
    <xf numFmtId="0" fontId="24" fillId="0" borderId="0" xfId="72" applyFont="1" applyBorder="1" applyAlignment="1">
      <alignment wrapText="1"/>
      <protection/>
    </xf>
    <xf numFmtId="0" fontId="46" fillId="0" borderId="0" xfId="72" applyFont="1" applyBorder="1" applyAlignment="1">
      <alignment horizontal="justify" vertical="top" wrapText="1"/>
      <protection/>
    </xf>
    <xf numFmtId="0" fontId="24" fillId="0" borderId="22" xfId="72" applyFont="1" applyBorder="1" applyAlignment="1">
      <alignment horizontal="right" vertical="top" wrapText="1"/>
      <protection/>
    </xf>
    <xf numFmtId="40" fontId="24" fillId="48" borderId="25" xfId="72" applyNumberFormat="1" applyFont="1" applyFill="1" applyBorder="1" applyAlignment="1">
      <alignment horizontal="right" vertical="center" wrapText="1"/>
      <protection/>
    </xf>
    <xf numFmtId="0" fontId="24" fillId="0" borderId="0" xfId="72" applyFont="1" applyBorder="1" applyAlignment="1">
      <alignment horizontal="left" vertical="top" wrapText="1"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7" fillId="48" borderId="22" xfId="72" applyFont="1" applyFill="1" applyBorder="1" applyAlignment="1">
      <alignment horizontal="center" vertical="center" wrapText="1"/>
      <protection/>
    </xf>
    <xf numFmtId="0" fontId="26" fillId="0" borderId="0" xfId="72" applyFont="1" applyFill="1" applyBorder="1" applyAlignment="1" applyProtection="1">
      <alignment horizontal="left" vertical="top" wrapText="1"/>
      <protection/>
    </xf>
    <xf numFmtId="0" fontId="25" fillId="0" borderId="0" xfId="72" applyFont="1" applyBorder="1" applyAlignment="1" applyProtection="1">
      <alignment horizontal="left" vertical="top" wrapText="1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8" xfId="79" applyFont="1" applyFill="1" applyBorder="1" applyAlignment="1" applyProtection="1">
      <alignment horizontal="center"/>
      <protection locked="0"/>
    </xf>
    <xf numFmtId="165" fontId="15" fillId="0" borderId="18" xfId="79" applyFont="1" applyFill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5" fontId="15" fillId="42" borderId="16" xfId="79" applyFont="1" applyFill="1" applyBorder="1" applyAlignment="1" applyProtection="1">
      <alignment horizontal="center"/>
      <protection locked="0"/>
    </xf>
    <xf numFmtId="165" fontId="15" fillId="0" borderId="16" xfId="79" applyFont="1" applyFill="1" applyBorder="1" applyAlignment="1" applyProtection="1">
      <alignment horizontal="center"/>
      <protection/>
    </xf>
    <xf numFmtId="165" fontId="15" fillId="42" borderId="16" xfId="79" applyFont="1" applyFill="1" applyBorder="1" applyAlignment="1" applyProtection="1">
      <alignment horizontal="center" vertical="center"/>
      <protection locked="0"/>
    </xf>
    <xf numFmtId="0" fontId="15" fillId="42" borderId="23" xfId="0" applyFont="1" applyFill="1" applyBorder="1" applyAlignment="1" applyProtection="1">
      <alignment horizontal="center" vertical="center"/>
      <protection locked="0"/>
    </xf>
    <xf numFmtId="165" fontId="15" fillId="42" borderId="21" xfId="79" applyFont="1" applyFill="1" applyBorder="1" applyAlignment="1" applyProtection="1">
      <alignment horizontal="center"/>
      <protection locked="0"/>
    </xf>
    <xf numFmtId="165" fontId="15" fillId="0" borderId="21" xfId="79" applyFont="1" applyFill="1" applyBorder="1" applyAlignment="1" applyProtection="1">
      <alignment horizontal="center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53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0" borderId="24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15" fillId="0" borderId="0" xfId="72" applyFont="1" applyFill="1" applyBorder="1" applyAlignment="1" applyProtection="1">
      <alignment horizontal="left"/>
      <protection/>
    </xf>
    <xf numFmtId="165" fontId="15" fillId="42" borderId="28" xfId="79" applyFont="1" applyFill="1" applyBorder="1" applyAlignment="1" applyProtection="1">
      <alignment horizontal="center"/>
      <protection locked="0"/>
    </xf>
    <xf numFmtId="165" fontId="15" fillId="42" borderId="29" xfId="79" applyFont="1" applyFill="1" applyBorder="1" applyAlignment="1" applyProtection="1">
      <alignment horizontal="center"/>
      <protection locked="0"/>
    </xf>
    <xf numFmtId="165" fontId="15" fillId="42" borderId="30" xfId="79" applyFont="1" applyFill="1" applyBorder="1" applyAlignment="1" applyProtection="1">
      <alignment horizontal="center"/>
      <protection locked="0"/>
    </xf>
    <xf numFmtId="49" fontId="54" fillId="42" borderId="11" xfId="72" applyNumberFormat="1" applyFont="1" applyFill="1" applyBorder="1" applyAlignment="1" applyProtection="1">
      <alignment horizontal="center" vertical="center"/>
      <protection/>
    </xf>
    <xf numFmtId="0" fontId="38" fillId="42" borderId="21" xfId="72" applyNumberFormat="1" applyFont="1" applyFill="1" applyBorder="1" applyAlignment="1" applyProtection="1">
      <alignment horizontal="center"/>
      <protection locked="0"/>
    </xf>
    <xf numFmtId="37" fontId="38" fillId="42" borderId="15" xfId="72" applyNumberFormat="1" applyFont="1" applyFill="1" applyBorder="1" applyAlignment="1" applyProtection="1">
      <alignment horizontal="center"/>
      <protection/>
    </xf>
    <xf numFmtId="0" fontId="38" fillId="0" borderId="0" xfId="72" applyFont="1" applyFill="1" applyBorder="1" applyAlignment="1" applyProtection="1">
      <alignment horizontal="left"/>
      <protection/>
    </xf>
    <xf numFmtId="0" fontId="54" fillId="42" borderId="11" xfId="72" applyFont="1" applyFill="1" applyBorder="1" applyAlignment="1" applyProtection="1">
      <alignment horizontal="center" vertical="center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0" fontId="56" fillId="0" borderId="24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8" fillId="41" borderId="15" xfId="0" applyFont="1" applyFill="1" applyBorder="1" applyAlignment="1" applyProtection="1">
      <alignment/>
      <protection/>
    </xf>
    <xf numFmtId="165" fontId="58" fillId="41" borderId="19" xfId="79" applyFont="1" applyFill="1" applyBorder="1" applyAlignment="1" applyProtection="1">
      <alignment horizontal="center" vertical="center" wrapText="1"/>
      <protection/>
    </xf>
    <xf numFmtId="0" fontId="58" fillId="42" borderId="22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/>
      <protection/>
    </xf>
    <xf numFmtId="0" fontId="58" fillId="41" borderId="25" xfId="72" applyFont="1" applyFill="1" applyBorder="1" applyAlignment="1" applyProtection="1">
      <alignment horizontal="center" vertical="center" wrapText="1"/>
      <protection/>
    </xf>
    <xf numFmtId="165" fontId="58" fillId="42" borderId="17" xfId="79" applyFont="1" applyFill="1" applyBorder="1" applyAlignment="1" applyProtection="1">
      <alignment horizontal="center" vertical="center" wrapText="1"/>
      <protection locked="0"/>
    </xf>
    <xf numFmtId="165" fontId="58" fillId="42" borderId="17" xfId="79" applyFont="1" applyFill="1" applyBorder="1" applyAlignment="1" applyProtection="1">
      <alignment horizontal="center" vertical="center"/>
      <protection locked="0"/>
    </xf>
    <xf numFmtId="165" fontId="58" fillId="42" borderId="20" xfId="79" applyFont="1" applyFill="1" applyBorder="1" applyAlignment="1" applyProtection="1">
      <alignment horizontal="center" vertical="center" wrapText="1"/>
      <protection locked="0"/>
    </xf>
    <xf numFmtId="165" fontId="58" fillId="42" borderId="20" xfId="79" applyFont="1" applyFill="1" applyBorder="1" applyAlignment="1" applyProtection="1">
      <alignment horizontal="center" vertical="center"/>
      <protection locked="0"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2" borderId="20" xfId="0" applyFont="1" applyFill="1" applyBorder="1" applyAlignment="1" applyProtection="1">
      <alignment horizontal="center" vertical="center" wrapText="1"/>
      <protection/>
    </xf>
    <xf numFmtId="0" fontId="58" fillId="42" borderId="19" xfId="0" applyFont="1" applyFill="1" applyBorder="1" applyAlignment="1" applyProtection="1">
      <alignment horizontal="center" vertical="center" wrapText="1"/>
      <protection/>
    </xf>
    <xf numFmtId="165" fontId="56" fillId="42" borderId="17" xfId="79" applyFont="1" applyFill="1" applyBorder="1" applyAlignment="1" applyProtection="1">
      <alignment horizontal="center"/>
      <protection locked="0"/>
    </xf>
    <xf numFmtId="0" fontId="58" fillId="41" borderId="14" xfId="0" applyFont="1" applyFill="1" applyBorder="1" applyAlignment="1" applyProtection="1">
      <alignment horizontal="left" wrapText="1"/>
      <protection/>
    </xf>
    <xf numFmtId="165" fontId="58" fillId="0" borderId="19" xfId="79" applyFont="1" applyFill="1" applyBorder="1" applyAlignment="1" applyProtection="1">
      <alignment horizontal="center" vertical="center" wrapText="1"/>
      <protection/>
    </xf>
    <xf numFmtId="0" fontId="58" fillId="42" borderId="17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left" wrapText="1"/>
      <protection locked="0"/>
    </xf>
    <xf numFmtId="165" fontId="56" fillId="42" borderId="20" xfId="79" applyFont="1" applyFill="1" applyBorder="1" applyAlignment="1" applyProtection="1">
      <alignment horizontal="center"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58" fillId="42" borderId="11" xfId="0" applyFont="1" applyFill="1" applyBorder="1" applyAlignment="1" applyProtection="1">
      <alignment horizontal="left" vertical="center" wrapText="1"/>
      <protection/>
    </xf>
    <xf numFmtId="10" fontId="64" fillId="41" borderId="25" xfId="77" applyNumberFormat="1" applyFont="1" applyFill="1" applyBorder="1" applyAlignment="1" applyProtection="1">
      <alignment horizontal="center" vertical="center" wrapText="1"/>
      <protection/>
    </xf>
    <xf numFmtId="165" fontId="56" fillId="41" borderId="25" xfId="79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/>
      <protection/>
    </xf>
    <xf numFmtId="0" fontId="60" fillId="42" borderId="23" xfId="0" applyFont="1" applyFill="1" applyBorder="1" applyAlignment="1" applyProtection="1">
      <alignment horizontal="center" vertical="center"/>
      <protection/>
    </xf>
    <xf numFmtId="165" fontId="56" fillId="42" borderId="16" xfId="79" applyFont="1" applyFill="1" applyBorder="1" applyAlignment="1" applyProtection="1">
      <alignment horizontal="center"/>
      <protection locked="0"/>
    </xf>
    <xf numFmtId="10" fontId="24" fillId="0" borderId="17" xfId="77" applyNumberFormat="1" applyFont="1" applyFill="1" applyBorder="1" applyAlignment="1" applyProtection="1">
      <alignment horizontal="center" vertical="center"/>
      <protection/>
    </xf>
    <xf numFmtId="165" fontId="58" fillId="0" borderId="22" xfId="79" applyFont="1" applyFill="1" applyBorder="1" applyAlignment="1" applyProtection="1">
      <alignment horizontal="center"/>
      <protection/>
    </xf>
    <xf numFmtId="10" fontId="24" fillId="0" borderId="25" xfId="77" applyNumberFormat="1" applyFont="1" applyFill="1" applyBorder="1" applyAlignment="1" applyProtection="1">
      <alignment horizontal="center" vertical="center"/>
      <protection/>
    </xf>
    <xf numFmtId="165" fontId="56" fillId="42" borderId="16" xfId="79" applyNumberFormat="1" applyFont="1" applyFill="1" applyBorder="1" applyAlignment="1" applyProtection="1">
      <alignment horizontal="center"/>
      <protection locked="0"/>
    </xf>
    <xf numFmtId="165" fontId="56" fillId="0" borderId="21" xfId="79" applyFont="1" applyFill="1" applyBorder="1" applyAlignment="1" applyProtection="1">
      <alignment horizontal="center"/>
      <protection/>
    </xf>
    <xf numFmtId="165" fontId="58" fillId="0" borderId="22" xfId="79" applyFont="1" applyFill="1" applyBorder="1" applyAlignment="1" applyProtection="1">
      <alignment horizontal="center" vertical="center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58" fillId="42" borderId="21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/>
      <protection/>
    </xf>
    <xf numFmtId="165" fontId="56" fillId="0" borderId="16" xfId="79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41" borderId="15" xfId="0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 wrapText="1"/>
      <protection/>
    </xf>
    <xf numFmtId="0" fontId="56" fillId="41" borderId="14" xfId="72" applyFont="1" applyFill="1" applyBorder="1" applyAlignment="1" applyProtection="1">
      <alignment horizontal="left" wrapText="1"/>
      <protection/>
    </xf>
    <xf numFmtId="0" fontId="59" fillId="0" borderId="12" xfId="72" applyFont="1" applyFill="1" applyBorder="1" applyAlignment="1" applyProtection="1">
      <alignment horizontal="center"/>
      <protection/>
    </xf>
    <xf numFmtId="165" fontId="56" fillId="42" borderId="18" xfId="79" applyFont="1" applyFill="1" applyBorder="1" applyAlignment="1" applyProtection="1">
      <alignment horizontal="center"/>
      <protection locked="0"/>
    </xf>
    <xf numFmtId="165" fontId="56" fillId="0" borderId="22" xfId="72" applyNumberFormat="1" applyFont="1" applyFill="1" applyBorder="1" applyAlignment="1" applyProtection="1">
      <alignment horizontal="center"/>
      <protection/>
    </xf>
    <xf numFmtId="0" fontId="60" fillId="42" borderId="1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/>
      <protection/>
    </xf>
    <xf numFmtId="0" fontId="58" fillId="42" borderId="25" xfId="72" applyFont="1" applyFill="1" applyBorder="1" applyAlignment="1" applyProtection="1">
      <alignment horizontal="center" vertical="top" wrapText="1"/>
      <protection/>
    </xf>
    <xf numFmtId="0" fontId="58" fillId="42" borderId="25" xfId="72" applyFont="1" applyFill="1" applyBorder="1" applyAlignment="1" applyProtection="1">
      <alignment horizontal="center" vertical="center" wrapText="1"/>
      <protection/>
    </xf>
    <xf numFmtId="0" fontId="56" fillId="0" borderId="0" xfId="72" applyNumberFormat="1" applyFont="1" applyFill="1" applyBorder="1" applyAlignment="1" applyProtection="1">
      <alignment horizontal="left"/>
      <protection/>
    </xf>
    <xf numFmtId="0" fontId="58" fillId="0" borderId="0" xfId="72" applyNumberFormat="1" applyFont="1" applyFill="1" applyBorder="1" applyAlignment="1" applyProtection="1">
      <alignment horizontal="left"/>
      <protection/>
    </xf>
    <xf numFmtId="0" fontId="58" fillId="42" borderId="22" xfId="72" applyFont="1" applyFill="1" applyBorder="1" applyAlignment="1" applyProtection="1">
      <alignment horizontal="center" vertical="center" wrapText="1"/>
      <protection/>
    </xf>
    <xf numFmtId="0" fontId="38" fillId="42" borderId="25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6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65" fontId="15" fillId="42" borderId="16" xfId="79" applyNumberFormat="1" applyFont="1" applyFill="1" applyBorder="1" applyAlignment="1" applyProtection="1">
      <alignment horizontal="center" vertical="center"/>
      <protection locked="0"/>
    </xf>
    <xf numFmtId="165" fontId="15" fillId="42" borderId="17" xfId="79" applyNumberFormat="1" applyFont="1" applyFill="1" applyBorder="1" applyAlignment="1" applyProtection="1">
      <alignment horizontal="center" vertical="center"/>
      <protection locked="0"/>
    </xf>
    <xf numFmtId="165" fontId="15" fillId="42" borderId="16" xfId="79" applyNumberFormat="1" applyFont="1" applyFill="1" applyBorder="1" applyAlignment="1" applyProtection="1">
      <alignment horizontal="left" vertical="top"/>
      <protection locked="0"/>
    </xf>
    <xf numFmtId="165" fontId="15" fillId="42" borderId="18" xfId="79" applyNumberFormat="1" applyFont="1" applyFill="1" applyBorder="1" applyAlignment="1" applyProtection="1">
      <alignment horizontal="center" vertical="top"/>
      <protection locked="0"/>
    </xf>
    <xf numFmtId="165" fontId="15" fillId="42" borderId="17" xfId="79" applyNumberFormat="1" applyFont="1" applyFill="1" applyBorder="1" applyAlignment="1" applyProtection="1">
      <alignment horizontal="center" vertical="top"/>
      <protection locked="0"/>
    </xf>
    <xf numFmtId="165" fontId="15" fillId="0" borderId="21" xfId="79" applyFont="1" applyFill="1" applyBorder="1" applyAlignment="1" applyProtection="1">
      <alignment horizontal="left" vertical="top"/>
      <protection/>
    </xf>
    <xf numFmtId="165" fontId="15" fillId="0" borderId="16" xfId="79" applyFont="1" applyFill="1" applyBorder="1" applyAlignment="1" applyProtection="1">
      <alignment horizontal="center" vertical="top"/>
      <protection/>
    </xf>
    <xf numFmtId="165" fontId="15" fillId="0" borderId="20" xfId="79" applyFont="1" applyFill="1" applyBorder="1" applyAlignment="1" applyProtection="1">
      <alignment horizontal="center" vertical="top"/>
      <protection/>
    </xf>
    <xf numFmtId="165" fontId="15" fillId="42" borderId="16" xfId="79" applyNumberFormat="1" applyFont="1" applyFill="1" applyBorder="1" applyAlignment="1" applyProtection="1">
      <alignment horizontal="center" vertical="top"/>
      <protection locked="0"/>
    </xf>
    <xf numFmtId="165" fontId="15" fillId="42" borderId="18" xfId="79" applyNumberFormat="1" applyFont="1" applyFill="1" applyBorder="1" applyAlignment="1" applyProtection="1">
      <alignment horizontal="left" vertical="top"/>
      <protection locked="0"/>
    </xf>
    <xf numFmtId="165" fontId="15" fillId="42" borderId="19" xfId="79" applyNumberFormat="1" applyFont="1" applyFill="1" applyBorder="1" applyAlignment="1" applyProtection="1">
      <alignment horizontal="center" vertical="top"/>
      <protection locked="0"/>
    </xf>
    <xf numFmtId="165" fontId="15" fillId="0" borderId="16" xfId="79" applyFont="1" applyFill="1" applyBorder="1" applyAlignment="1" applyProtection="1">
      <alignment horizontal="left" vertical="top"/>
      <protection/>
    </xf>
    <xf numFmtId="165" fontId="15" fillId="0" borderId="21" xfId="79" applyFont="1" applyFill="1" applyBorder="1" applyAlignment="1" applyProtection="1">
      <alignment horizontal="center" vertical="top"/>
      <protection/>
    </xf>
    <xf numFmtId="165" fontId="15" fillId="0" borderId="17" xfId="79" applyFont="1" applyFill="1" applyBorder="1" applyAlignment="1" applyProtection="1">
      <alignment horizontal="center" vertical="top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4" fillId="42" borderId="24" xfId="0" applyFont="1" applyFill="1" applyBorder="1" applyAlignment="1" applyProtection="1">
      <alignment horizontal="center" vertical="center" wrapText="1"/>
      <protection/>
    </xf>
    <xf numFmtId="0" fontId="38" fillId="42" borderId="21" xfId="0" applyFont="1" applyFill="1" applyBorder="1" applyAlignment="1" applyProtection="1">
      <alignment horizontal="center" vertical="top"/>
      <protection/>
    </xf>
    <xf numFmtId="0" fontId="38" fillId="42" borderId="24" xfId="0" applyFont="1" applyFill="1" applyBorder="1" applyAlignment="1" applyProtection="1">
      <alignment horizontal="right" vertical="top" wrapText="1"/>
      <protection/>
    </xf>
    <xf numFmtId="0" fontId="38" fillId="42" borderId="18" xfId="0" applyFont="1" applyFill="1" applyBorder="1" applyAlignment="1" applyProtection="1">
      <alignment horizontal="center" vertical="top" wrapText="1"/>
      <protection/>
    </xf>
    <xf numFmtId="0" fontId="38" fillId="42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10" fontId="15" fillId="42" borderId="22" xfId="77" applyNumberFormat="1" applyFont="1" applyFill="1" applyBorder="1" applyAlignment="1" applyProtection="1">
      <alignment horizontal="center"/>
      <protection locked="0"/>
    </xf>
    <xf numFmtId="0" fontId="38" fillId="42" borderId="22" xfId="0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  <xf numFmtId="0" fontId="38" fillId="42" borderId="22" xfId="0" applyFont="1" applyFill="1" applyBorder="1" applyAlignment="1" applyProtection="1">
      <alignment horizontal="center" vertical="center" wrapText="1"/>
      <protection/>
    </xf>
    <xf numFmtId="0" fontId="38" fillId="42" borderId="22" xfId="0" applyFont="1" applyFill="1" applyBorder="1" applyAlignment="1" applyProtection="1">
      <alignment horizontal="center"/>
      <protection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10" fontId="15" fillId="42" borderId="16" xfId="77" applyNumberFormat="1" applyFont="1" applyFill="1" applyBorder="1" applyAlignment="1" applyProtection="1">
      <alignment horizontal="center"/>
      <protection locked="0"/>
    </xf>
    <xf numFmtId="10" fontId="15" fillId="42" borderId="18" xfId="77" applyNumberFormat="1" applyFont="1" applyFill="1" applyBorder="1" applyAlignment="1" applyProtection="1">
      <alignment horizontal="center"/>
      <protection locked="0"/>
    </xf>
    <xf numFmtId="10" fontId="15" fillId="0" borderId="21" xfId="77" applyNumberFormat="1" applyFont="1" applyFill="1" applyBorder="1" applyAlignment="1" applyProtection="1">
      <alignment horizontal="center"/>
      <protection/>
    </xf>
    <xf numFmtId="10" fontId="15" fillId="0" borderId="18" xfId="77" applyNumberFormat="1" applyFont="1" applyFill="1" applyBorder="1" applyAlignment="1" applyProtection="1">
      <alignment horizontal="center"/>
      <protection/>
    </xf>
    <xf numFmtId="0" fontId="38" fillId="42" borderId="11" xfId="0" applyFont="1" applyFill="1" applyBorder="1" applyAlignment="1" applyProtection="1">
      <alignment horizontal="center" vertical="center"/>
      <protection/>
    </xf>
    <xf numFmtId="165" fontId="15" fillId="42" borderId="16" xfId="79" applyNumberFormat="1" applyFont="1" applyFill="1" applyBorder="1" applyAlignment="1" applyProtection="1">
      <alignment horizontal="center"/>
      <protection locked="0"/>
    </xf>
    <xf numFmtId="0" fontId="38" fillId="42" borderId="21" xfId="0" applyFont="1" applyFill="1" applyBorder="1" applyAlignment="1" applyProtection="1">
      <alignment horizontal="center" vertical="center"/>
      <protection/>
    </xf>
    <xf numFmtId="0" fontId="38" fillId="42" borderId="16" xfId="0" applyFont="1" applyFill="1" applyBorder="1" applyAlignment="1" applyProtection="1">
      <alignment horizontal="center" vertic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165" fontId="15" fillId="42" borderId="22" xfId="79" applyNumberFormat="1" applyFont="1" applyFill="1" applyBorder="1" applyAlignment="1" applyProtection="1">
      <alignment horizontal="center"/>
      <protection locked="0"/>
    </xf>
    <xf numFmtId="165" fontId="15" fillId="42" borderId="17" xfId="79" applyNumberFormat="1" applyFont="1" applyFill="1" applyBorder="1" applyAlignment="1" applyProtection="1">
      <alignment horizontal="right"/>
      <protection locked="0"/>
    </xf>
    <xf numFmtId="165" fontId="15" fillId="42" borderId="18" xfId="79" applyNumberFormat="1" applyFont="1" applyFill="1" applyBorder="1" applyAlignment="1" applyProtection="1">
      <alignment horizontal="center"/>
      <protection locked="0"/>
    </xf>
    <xf numFmtId="165" fontId="15" fillId="42" borderId="21" xfId="79" applyNumberFormat="1" applyFont="1" applyFill="1" applyBorder="1" applyAlignment="1" applyProtection="1">
      <alignment horizontal="center"/>
      <protection locked="0"/>
    </xf>
    <xf numFmtId="165" fontId="15" fillId="42" borderId="13" xfId="79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" xfId="79"/>
    <cellStyle name="Comma [0]" xfId="80"/>
    <cellStyle name="Separador de milhares 2" xfId="81"/>
    <cellStyle name="Status 1" xfId="82"/>
    <cellStyle name="Status 2" xfId="83"/>
    <cellStyle name="Text 1" xfId="84"/>
    <cellStyle name="Text 2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tabSelected="1" zoomScale="90" zoomScaleNormal="90" zoomScalePageLayoutView="0" workbookViewId="0" topLeftCell="A1">
      <selection activeCell="A38" sqref="A38"/>
    </sheetView>
  </sheetViews>
  <sheetFormatPr defaultColWidth="8.710937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898" t="s">
        <v>1138</v>
      </c>
      <c r="B1" s="898"/>
    </row>
    <row r="2" spans="1:2" ht="18.75" customHeight="1">
      <c r="A2" s="898" t="s">
        <v>1139</v>
      </c>
      <c r="B2" s="898"/>
    </row>
    <row r="3" spans="1:256" ht="22.5" customHeight="1">
      <c r="A3" s="901" t="s">
        <v>1140</v>
      </c>
      <c r="B3" s="901"/>
      <c r="D3" s="902" t="str">
        <f>IF(IT11=1,"","O preenchimento do período (Bimestre) diferente do indicado pode comprometer a obtenção de alguns índices!!!! Selecione o período clicando na setinha à direita da linha que indica o período!!!!")</f>
        <v>O preenchimento do período (Bimestre) diferente do indicado pode comprometer a obtenção de alguns índices!!!! Selecione o período clicando na setinha à direita da linha que indica o período!!!!</v>
      </c>
      <c r="E3" s="902"/>
      <c r="F3" s="902"/>
      <c r="G3" s="902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903" t="s">
        <v>0</v>
      </c>
      <c r="B4" s="903"/>
      <c r="C4" s="5"/>
      <c r="D4" s="902"/>
      <c r="E4" s="902"/>
      <c r="F4" s="902"/>
      <c r="G4" s="902"/>
      <c r="H4" s="5"/>
      <c r="I4" s="5"/>
      <c r="II4" s="904" t="s">
        <v>1</v>
      </c>
      <c r="IJ4" s="904"/>
      <c r="IK4" s="904"/>
      <c r="IL4" s="904"/>
      <c r="IM4" s="904"/>
      <c r="IN4" s="904"/>
      <c r="IO4" s="3">
        <f>IF($A$5=IP4,1,0)</f>
        <v>0</v>
      </c>
      <c r="IP4" s="897" t="s">
        <v>2</v>
      </c>
      <c r="IQ4" s="897"/>
      <c r="IR4" s="897"/>
      <c r="IS4" s="897"/>
      <c r="IT4" s="897"/>
      <c r="IU4" s="897"/>
      <c r="IV4" s="897"/>
    </row>
    <row r="5" spans="1:256" ht="18.75" customHeight="1">
      <c r="A5" s="898" t="s">
        <v>1157</v>
      </c>
      <c r="B5" s="898"/>
      <c r="D5" s="902"/>
      <c r="E5" s="902"/>
      <c r="F5" s="902"/>
      <c r="G5" s="902"/>
      <c r="II5" s="904"/>
      <c r="IJ5" s="904"/>
      <c r="IK5" s="904"/>
      <c r="IL5" s="904"/>
      <c r="IM5" s="904"/>
      <c r="IN5" s="904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4</v>
      </c>
    </row>
    <row r="6" spans="1:256" ht="24" customHeight="1">
      <c r="A6" s="899" t="s">
        <v>5</v>
      </c>
      <c r="B6" s="899"/>
      <c r="D6" s="902"/>
      <c r="E6" s="902"/>
      <c r="F6" s="902"/>
      <c r="G6" s="902"/>
      <c r="II6" s="904"/>
      <c r="IJ6" s="904"/>
      <c r="IK6" s="904"/>
      <c r="IL6" s="904"/>
      <c r="IM6" s="904"/>
      <c r="IN6" s="904"/>
      <c r="IO6" s="3"/>
      <c r="IP6" s="3"/>
      <c r="IQ6" s="3"/>
      <c r="IR6" s="3"/>
      <c r="IS6" s="4"/>
      <c r="IT6" s="4">
        <f t="shared" si="0"/>
        <v>0</v>
      </c>
      <c r="IU6" s="4"/>
      <c r="IV6" s="7" t="s">
        <v>6</v>
      </c>
    </row>
    <row r="7" spans="1:256" ht="23.25" customHeight="1">
      <c r="A7" s="900">
        <f>IF(B19="","Por favor, informe o endereço eletrônico do Portal da Transparência.","")</f>
      </c>
      <c r="B7" s="900"/>
      <c r="D7" s="902"/>
      <c r="E7" s="902"/>
      <c r="F7" s="902"/>
      <c r="G7" s="902"/>
      <c r="II7" s="904"/>
      <c r="IJ7" s="904"/>
      <c r="IK7" s="904"/>
      <c r="IL7" s="904"/>
      <c r="IM7" s="904"/>
      <c r="IN7" s="904"/>
      <c r="IO7" s="3"/>
      <c r="IP7" s="3"/>
      <c r="IQ7" s="3"/>
      <c r="IR7" s="3"/>
      <c r="IS7" s="4"/>
      <c r="IT7" s="4">
        <f t="shared" si="0"/>
        <v>0</v>
      </c>
      <c r="IU7" s="4"/>
      <c r="IV7" s="7" t="s">
        <v>3</v>
      </c>
    </row>
    <row r="8" spans="1:256" ht="18" customHeight="1">
      <c r="A8" s="8" t="s">
        <v>7</v>
      </c>
      <c r="B8" s="9"/>
      <c r="II8" s="904"/>
      <c r="IJ8" s="904"/>
      <c r="IK8" s="904"/>
      <c r="IL8" s="904"/>
      <c r="IM8" s="904"/>
      <c r="IN8" s="904"/>
      <c r="IO8" s="3"/>
      <c r="IP8" s="3"/>
      <c r="IQ8" s="3"/>
      <c r="IR8" s="3"/>
      <c r="IS8" s="4"/>
      <c r="IT8" s="4">
        <f t="shared" si="0"/>
        <v>0</v>
      </c>
      <c r="IU8" s="4"/>
      <c r="IV8" s="7" t="s">
        <v>8</v>
      </c>
    </row>
    <row r="9" spans="1:256" ht="12.75" customHeight="1">
      <c r="A9" s="10" t="s">
        <v>9</v>
      </c>
      <c r="B9" s="11" t="s">
        <v>1141</v>
      </c>
      <c r="C9" s="12">
        <f>IF(B9="",1,0)</f>
        <v>0</v>
      </c>
      <c r="II9" s="904"/>
      <c r="IJ9" s="904"/>
      <c r="IK9" s="904"/>
      <c r="IL9" s="904"/>
      <c r="IM9" s="904"/>
      <c r="IN9" s="904"/>
      <c r="IO9" s="3"/>
      <c r="IP9" s="3"/>
      <c r="IQ9" s="3"/>
      <c r="IR9" s="3"/>
      <c r="IS9" s="4"/>
      <c r="IT9" s="4">
        <f t="shared" si="0"/>
        <v>0</v>
      </c>
      <c r="IU9" s="4"/>
      <c r="IV9" s="7" t="s">
        <v>10</v>
      </c>
    </row>
    <row r="10" spans="1:256" ht="12.75" customHeight="1">
      <c r="A10" s="13" t="s">
        <v>11</v>
      </c>
      <c r="B10" s="11" t="s">
        <v>1142</v>
      </c>
      <c r="C10" s="12">
        <f>IF(B10="",1,0)</f>
        <v>0</v>
      </c>
      <c r="II10" s="904"/>
      <c r="IJ10" s="904"/>
      <c r="IK10" s="904"/>
      <c r="IL10" s="904"/>
      <c r="IM10" s="904"/>
      <c r="IN10" s="904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12</v>
      </c>
    </row>
    <row r="11" spans="1:256" ht="12.75" customHeight="1">
      <c r="A11" s="10" t="s">
        <v>13</v>
      </c>
      <c r="B11" s="11" t="s">
        <v>1143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0</v>
      </c>
      <c r="IU11" s="4"/>
      <c r="IV11" s="4"/>
    </row>
    <row r="12" spans="1:3" ht="12.75" customHeight="1">
      <c r="A12" s="13" t="s">
        <v>14</v>
      </c>
      <c r="B12" s="11" t="s">
        <v>1144</v>
      </c>
      <c r="C12" s="12">
        <f>IF(B12="",1,0)</f>
        <v>0</v>
      </c>
    </row>
    <row r="13" spans="1:3" ht="12.75" customHeight="1">
      <c r="A13" s="10" t="s">
        <v>15</v>
      </c>
      <c r="B13" s="11" t="s">
        <v>1158</v>
      </c>
      <c r="C13" s="12">
        <f>IF(B13="",1,0)</f>
        <v>0</v>
      </c>
    </row>
    <row r="14" spans="1:3" ht="18" customHeight="1">
      <c r="A14" s="8" t="s">
        <v>16</v>
      </c>
      <c r="B14" s="9"/>
      <c r="C14" s="12"/>
    </row>
    <row r="15" spans="1:3" ht="12.75" customHeight="1">
      <c r="A15" s="10" t="s">
        <v>17</v>
      </c>
      <c r="B15" s="11" t="s">
        <v>1145</v>
      </c>
      <c r="C15" s="12">
        <f>IF(B15="",1,0)</f>
        <v>0</v>
      </c>
    </row>
    <row r="16" spans="1:3" ht="15" customHeight="1">
      <c r="A16" s="14" t="s">
        <v>18</v>
      </c>
      <c r="B16" s="15" t="s">
        <v>1146</v>
      </c>
      <c r="C16" s="12">
        <f>IF(B16="",1,0)</f>
        <v>0</v>
      </c>
    </row>
    <row r="17" spans="1:3" ht="12.75" customHeight="1">
      <c r="A17" s="10" t="s">
        <v>19</v>
      </c>
      <c r="B17" s="15" t="s">
        <v>1146</v>
      </c>
      <c r="C17" s="12">
        <f>IF(B17="",1,0)</f>
        <v>0</v>
      </c>
    </row>
    <row r="18" spans="1:3" ht="18" customHeight="1">
      <c r="A18" s="8" t="s">
        <v>20</v>
      </c>
      <c r="B18" s="9"/>
      <c r="C18" s="12"/>
    </row>
    <row r="19" spans="1:3" ht="18" customHeight="1">
      <c r="A19" s="16" t="s">
        <v>21</v>
      </c>
      <c r="B19" s="17" t="s">
        <v>1147</v>
      </c>
      <c r="C19" s="12">
        <f>IF(B19="",1,0)</f>
        <v>0</v>
      </c>
    </row>
    <row r="20" spans="1:3" ht="12.75" customHeight="1">
      <c r="A20" s="13" t="s">
        <v>22</v>
      </c>
      <c r="B20" s="11" t="s">
        <v>1148</v>
      </c>
      <c r="C20" s="12">
        <f>IF(B20="",1,0)</f>
        <v>0</v>
      </c>
    </row>
    <row r="21" spans="1:3" ht="12.75" customHeight="1">
      <c r="A21" s="18" t="s">
        <v>23</v>
      </c>
      <c r="B21" s="11" t="s">
        <v>1149</v>
      </c>
      <c r="C21" s="12">
        <f>IF(B21="",1,0)</f>
        <v>0</v>
      </c>
    </row>
    <row r="22" spans="1:3" ht="14.25" customHeight="1">
      <c r="A22" s="19" t="s">
        <v>24</v>
      </c>
      <c r="B22" s="20" t="s">
        <v>1150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25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26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">
      <selection activeCell="A15" sqref="A15"/>
    </sheetView>
  </sheetViews>
  <sheetFormatPr defaultColWidth="11.28125" defaultRowHeight="14.25" customHeight="1"/>
  <cols>
    <col min="1" max="1" width="78.28125" style="516" customWidth="1"/>
    <col min="2" max="2" width="25.28125" style="516" customWidth="1"/>
    <col min="3" max="6" width="12.28125" style="516" customWidth="1"/>
    <col min="7" max="7" width="20.00390625" style="516" customWidth="1"/>
    <col min="8" max="8" width="20.7109375" style="516" customWidth="1"/>
    <col min="9" max="9" width="8.7109375" style="516" customWidth="1"/>
    <col min="10" max="10" width="12.421875" style="516" customWidth="1"/>
    <col min="11" max="11" width="20.7109375" style="516" customWidth="1"/>
    <col min="12" max="12" width="13.57421875" style="516" customWidth="1"/>
    <col min="13" max="255" width="8.7109375" style="516" customWidth="1"/>
    <col min="256" max="16384" width="11.28125" style="516" customWidth="1"/>
  </cols>
  <sheetData>
    <row r="1" spans="1:6" ht="15.75" customHeight="1">
      <c r="A1" s="1175" t="s">
        <v>815</v>
      </c>
      <c r="B1" s="1175"/>
      <c r="C1" s="1175"/>
      <c r="D1" s="1175"/>
      <c r="E1" s="1175"/>
      <c r="F1" s="1175"/>
    </row>
    <row r="2" spans="1:13" ht="14.25" customHeight="1">
      <c r="A2" s="1176" t="str">
        <f>'Informações Iniciais'!A1</f>
        <v>MUNICÍPIO DE RIBAMAR FIQUENE - PODER EXECUTIVO</v>
      </c>
      <c r="B2" s="1176"/>
      <c r="C2" s="1176"/>
      <c r="D2" s="1176"/>
      <c r="E2" s="1176"/>
      <c r="F2" s="517"/>
      <c r="G2" s="517"/>
      <c r="H2" s="517"/>
      <c r="I2" s="517"/>
      <c r="J2" s="517"/>
      <c r="K2" s="517"/>
      <c r="L2" s="517"/>
      <c r="M2" s="517"/>
    </row>
    <row r="3" spans="1:13" ht="14.25" customHeight="1">
      <c r="A3" s="1177" t="s">
        <v>0</v>
      </c>
      <c r="B3" s="1177"/>
      <c r="C3" s="1177"/>
      <c r="D3" s="1177"/>
      <c r="E3" s="1177"/>
      <c r="F3" s="517"/>
      <c r="G3" s="517"/>
      <c r="H3" s="517"/>
      <c r="I3" s="517"/>
      <c r="J3" s="517"/>
      <c r="K3" s="517"/>
      <c r="L3" s="517"/>
      <c r="M3" s="517"/>
    </row>
    <row r="4" spans="1:13" ht="14.25" customHeight="1">
      <c r="A4" s="1178" t="s">
        <v>658</v>
      </c>
      <c r="B4" s="1178"/>
      <c r="C4" s="1178"/>
      <c r="D4" s="1178"/>
      <c r="E4" s="1178"/>
      <c r="F4" s="415"/>
      <c r="G4" s="415"/>
      <c r="H4" s="415"/>
      <c r="I4" s="415"/>
      <c r="J4" s="415"/>
      <c r="K4" s="415"/>
      <c r="L4" s="415"/>
      <c r="M4" s="415"/>
    </row>
    <row r="5" spans="1:13" ht="14.25" customHeight="1">
      <c r="A5" s="1179" t="s">
        <v>29</v>
      </c>
      <c r="B5" s="1179"/>
      <c r="C5" s="1179"/>
      <c r="D5" s="1179"/>
      <c r="E5" s="1179"/>
      <c r="F5" s="416"/>
      <c r="G5" s="416"/>
      <c r="H5" s="416"/>
      <c r="I5" s="416"/>
      <c r="J5" s="416"/>
      <c r="K5" s="416"/>
      <c r="L5" s="416"/>
      <c r="M5" s="416"/>
    </row>
    <row r="6" spans="1:13" ht="14.25" customHeight="1">
      <c r="A6" s="1176" t="str">
        <f>'Informações Iniciais'!A5</f>
        <v>3º Bimestre de 2020</v>
      </c>
      <c r="B6" s="1176"/>
      <c r="C6" s="1176"/>
      <c r="D6" s="1176"/>
      <c r="E6" s="1176"/>
      <c r="F6" s="517"/>
      <c r="G6" s="517"/>
      <c r="H6" s="517"/>
      <c r="I6" s="517"/>
      <c r="J6" s="517"/>
      <c r="K6" s="517"/>
      <c r="L6" s="517"/>
      <c r="M6" s="517"/>
    </row>
    <row r="7" spans="1:16" ht="15.75" customHeight="1">
      <c r="A7" s="1170">
        <f>IF(C27&lt;&gt;(E27+G27),"ERRO!!!! O total das DESPESAS EMPENHADAS deve ser igual ao somatório dos totais das DESPESAS LIQUIDADAS e INSCRITAS EM RESTOS A PAGAR NÃO PROCESSADOS.","")</f>
      </c>
      <c r="B7" s="1170"/>
      <c r="C7" s="1170"/>
      <c r="D7" s="1170"/>
      <c r="E7" s="1170"/>
      <c r="F7" s="1170"/>
      <c r="G7" s="1170"/>
      <c r="H7" s="517"/>
      <c r="I7" s="517"/>
      <c r="J7" s="518"/>
      <c r="K7" s="518"/>
      <c r="L7" s="518"/>
      <c r="M7" s="518"/>
      <c r="N7" s="519"/>
      <c r="O7" s="519"/>
      <c r="P7" s="519"/>
    </row>
    <row r="8" spans="1:16" ht="14.25" customHeight="1">
      <c r="A8" s="520" t="s">
        <v>816</v>
      </c>
      <c r="B8" s="520"/>
      <c r="C8" s="520"/>
      <c r="D8" s="520"/>
      <c r="E8" s="520"/>
      <c r="F8" s="520"/>
      <c r="G8" s="521" t="s">
        <v>31</v>
      </c>
      <c r="H8" s="447"/>
      <c r="J8" s="1152"/>
      <c r="K8" s="1152"/>
      <c r="L8" s="1152"/>
      <c r="M8" s="1152"/>
      <c r="N8" s="519"/>
      <c r="O8" s="519"/>
      <c r="P8" s="519"/>
    </row>
    <row r="9" spans="1:16" ht="14.25" customHeight="1">
      <c r="A9" s="1171" t="s">
        <v>817</v>
      </c>
      <c r="B9" s="1171"/>
      <c r="C9" s="1171"/>
      <c r="D9" s="1171"/>
      <c r="E9" s="1171"/>
      <c r="F9" s="1171"/>
      <c r="G9" s="1171"/>
      <c r="H9" s="522"/>
      <c r="J9" s="1172"/>
      <c r="K9" s="1172"/>
      <c r="L9" s="1172"/>
      <c r="M9" s="1172"/>
      <c r="N9" s="519"/>
      <c r="O9" s="519"/>
      <c r="P9" s="519"/>
    </row>
    <row r="10" spans="1:16" ht="30" customHeight="1">
      <c r="A10" s="524" t="s">
        <v>818</v>
      </c>
      <c r="B10" s="1143" t="s">
        <v>819</v>
      </c>
      <c r="C10" s="1096" t="s">
        <v>119</v>
      </c>
      <c r="D10" s="1096"/>
      <c r="E10" s="1096" t="s">
        <v>120</v>
      </c>
      <c r="F10" s="1096"/>
      <c r="G10" s="1173" t="s">
        <v>820</v>
      </c>
      <c r="H10" s="519"/>
      <c r="J10" s="1174"/>
      <c r="K10" s="1174"/>
      <c r="L10" s="525"/>
      <c r="M10" s="523"/>
      <c r="N10" s="519"/>
      <c r="O10" s="519"/>
      <c r="P10" s="519"/>
    </row>
    <row r="11" spans="1:16" ht="15" customHeight="1">
      <c r="A11" s="526" t="s">
        <v>821</v>
      </c>
      <c r="B11" s="1143"/>
      <c r="C11" s="424" t="s">
        <v>39</v>
      </c>
      <c r="D11" s="425" t="s">
        <v>38</v>
      </c>
      <c r="E11" s="424" t="s">
        <v>39</v>
      </c>
      <c r="F11" s="425" t="s">
        <v>38</v>
      </c>
      <c r="G11" s="1173"/>
      <c r="H11" s="519"/>
      <c r="J11" s="523"/>
      <c r="K11" s="523"/>
      <c r="L11" s="523"/>
      <c r="M11" s="527"/>
      <c r="N11" s="519"/>
      <c r="O11" s="519"/>
      <c r="P11" s="519"/>
    </row>
    <row r="12" spans="1:16" ht="15" customHeight="1">
      <c r="A12" s="528"/>
      <c r="B12" s="529" t="s">
        <v>124</v>
      </c>
      <c r="C12" s="428" t="s">
        <v>125</v>
      </c>
      <c r="D12" s="429" t="s">
        <v>730</v>
      </c>
      <c r="E12" s="428" t="s">
        <v>649</v>
      </c>
      <c r="F12" s="429" t="s">
        <v>731</v>
      </c>
      <c r="G12" s="452" t="s">
        <v>650</v>
      </c>
      <c r="H12" s="519"/>
      <c r="J12" s="523"/>
      <c r="K12" s="523"/>
      <c r="L12" s="523"/>
      <c r="M12" s="523"/>
      <c r="N12" s="519"/>
      <c r="O12" s="519"/>
      <c r="P12" s="519"/>
    </row>
    <row r="13" spans="1:16" ht="14.25" customHeight="1">
      <c r="A13" s="530" t="s">
        <v>822</v>
      </c>
      <c r="B13" s="531">
        <f>B14+B17</f>
        <v>0</v>
      </c>
      <c r="C13" s="531">
        <f>C14+C17</f>
        <v>0</v>
      </c>
      <c r="D13" s="51">
        <f aca="true" t="shared" si="0" ref="D13:D27">IF($B13="",0,IF($B13=0,0,C13/$B13))</f>
        <v>0</v>
      </c>
      <c r="E13" s="531">
        <f>E14+E17</f>
        <v>0</v>
      </c>
      <c r="F13" s="51">
        <f aca="true" t="shared" si="1" ref="F13:F27">IF($B13="",0,IF($B13=0,0,E13/$B13))</f>
        <v>0</v>
      </c>
      <c r="G13" s="532">
        <f>G14+G17</f>
        <v>0</v>
      </c>
      <c r="H13" s="435"/>
      <c r="J13" s="519"/>
      <c r="K13" s="519"/>
      <c r="L13" s="519"/>
      <c r="M13" s="519"/>
      <c r="N13" s="519"/>
      <c r="O13" s="519"/>
      <c r="P13" s="519"/>
    </row>
    <row r="14" spans="1:8" ht="14.25" customHeight="1">
      <c r="A14" s="533" t="s">
        <v>823</v>
      </c>
      <c r="B14" s="534">
        <f>SUM(B15:B16)</f>
        <v>0</v>
      </c>
      <c r="C14" s="534">
        <f>SUM(C15:C16)</f>
        <v>0</v>
      </c>
      <c r="D14" s="51">
        <f t="shared" si="0"/>
        <v>0</v>
      </c>
      <c r="E14" s="534">
        <f>SUM(E15:E16)</f>
        <v>0</v>
      </c>
      <c r="F14" s="51">
        <f t="shared" si="1"/>
        <v>0</v>
      </c>
      <c r="G14" s="27">
        <f>SUM(G15:G16)</f>
        <v>0</v>
      </c>
      <c r="H14" s="435"/>
    </row>
    <row r="15" spans="1:8" ht="14.25" customHeight="1">
      <c r="A15" s="533" t="s">
        <v>824</v>
      </c>
      <c r="B15" s="109">
        <v>0</v>
      </c>
      <c r="C15" s="109">
        <v>0</v>
      </c>
      <c r="D15" s="51">
        <f t="shared" si="0"/>
        <v>0</v>
      </c>
      <c r="E15" s="494">
        <v>0</v>
      </c>
      <c r="F15" s="51">
        <f t="shared" si="1"/>
        <v>0</v>
      </c>
      <c r="G15" s="109">
        <v>0</v>
      </c>
      <c r="H15" s="435"/>
    </row>
    <row r="16" spans="1:8" ht="14.25" customHeight="1">
      <c r="A16" s="533" t="s">
        <v>825</v>
      </c>
      <c r="B16" s="110">
        <v>0</v>
      </c>
      <c r="C16" s="110">
        <v>0</v>
      </c>
      <c r="D16" s="51">
        <f t="shared" si="0"/>
        <v>0</v>
      </c>
      <c r="E16" s="110">
        <v>0</v>
      </c>
      <c r="F16" s="51">
        <f t="shared" si="1"/>
        <v>0</v>
      </c>
      <c r="G16" s="143">
        <v>0</v>
      </c>
      <c r="H16" s="435"/>
    </row>
    <row r="17" spans="1:8" ht="14.25" customHeight="1">
      <c r="A17" s="533" t="s">
        <v>826</v>
      </c>
      <c r="B17" s="534">
        <f>SUM(B18:B19)</f>
        <v>0</v>
      </c>
      <c r="C17" s="534">
        <f>SUM(C18:C19)</f>
        <v>0</v>
      </c>
      <c r="D17" s="51">
        <f t="shared" si="0"/>
        <v>0</v>
      </c>
      <c r="E17" s="534">
        <f>SUM(E18:E19)</f>
        <v>0</v>
      </c>
      <c r="F17" s="51">
        <f t="shared" si="1"/>
        <v>0</v>
      </c>
      <c r="G17" s="169">
        <f>SUM(G18:G19)</f>
        <v>0</v>
      </c>
      <c r="H17" s="435"/>
    </row>
    <row r="18" spans="1:8" ht="14.25" customHeight="1">
      <c r="A18" s="533" t="s">
        <v>824</v>
      </c>
      <c r="B18" s="143">
        <v>0</v>
      </c>
      <c r="C18" s="493">
        <v>0</v>
      </c>
      <c r="D18" s="51">
        <f t="shared" si="0"/>
        <v>0</v>
      </c>
      <c r="E18" s="460">
        <v>0</v>
      </c>
      <c r="F18" s="51">
        <f t="shared" si="1"/>
        <v>0</v>
      </c>
      <c r="G18" s="109">
        <v>0</v>
      </c>
      <c r="H18" s="435"/>
    </row>
    <row r="19" spans="1:8" ht="14.25" customHeight="1">
      <c r="A19" s="533" t="s">
        <v>825</v>
      </c>
      <c r="B19" s="143">
        <v>0</v>
      </c>
      <c r="C19" s="109">
        <v>0</v>
      </c>
      <c r="D19" s="51">
        <f t="shared" si="0"/>
        <v>0</v>
      </c>
      <c r="E19" s="109">
        <v>0</v>
      </c>
      <c r="F19" s="51">
        <f t="shared" si="1"/>
        <v>0</v>
      </c>
      <c r="G19" s="535">
        <v>0</v>
      </c>
      <c r="H19" s="519"/>
    </row>
    <row r="20" spans="1:8" ht="14.25" customHeight="1">
      <c r="A20" s="530" t="s">
        <v>827</v>
      </c>
      <c r="B20" s="534">
        <f>SUM(B21:B22)</f>
        <v>0</v>
      </c>
      <c r="C20" s="534">
        <f>SUM(C21:C22)</f>
        <v>0</v>
      </c>
      <c r="D20" s="51">
        <f t="shared" si="0"/>
        <v>0</v>
      </c>
      <c r="E20" s="534">
        <f>SUM(E21:E22)</f>
        <v>0</v>
      </c>
      <c r="F20" s="51">
        <f t="shared" si="1"/>
        <v>0</v>
      </c>
      <c r="G20" s="169">
        <f>SUM(G21:G22)</f>
        <v>0</v>
      </c>
      <c r="H20" s="519"/>
    </row>
    <row r="21" spans="1:8" ht="14.25" customHeight="1">
      <c r="A21" s="530" t="s">
        <v>828</v>
      </c>
      <c r="B21" s="536">
        <v>0</v>
      </c>
      <c r="C21" s="535">
        <v>0</v>
      </c>
      <c r="D21" s="51">
        <f t="shared" si="0"/>
        <v>0</v>
      </c>
      <c r="E21" s="535">
        <v>0</v>
      </c>
      <c r="F21" s="51">
        <f t="shared" si="1"/>
        <v>0</v>
      </c>
      <c r="G21" s="536">
        <v>0</v>
      </c>
      <c r="H21" s="519"/>
    </row>
    <row r="22" spans="1:8" ht="14.25" customHeight="1">
      <c r="A22" s="530" t="s">
        <v>829</v>
      </c>
      <c r="B22" s="536">
        <v>0</v>
      </c>
      <c r="C22" s="535">
        <v>0</v>
      </c>
      <c r="D22" s="51">
        <f t="shared" si="0"/>
        <v>0</v>
      </c>
      <c r="E22" s="535">
        <v>0</v>
      </c>
      <c r="F22" s="51">
        <f t="shared" si="1"/>
        <v>0</v>
      </c>
      <c r="G22" s="536">
        <v>0</v>
      </c>
      <c r="H22" s="519"/>
    </row>
    <row r="23" spans="1:8" ht="14.25" customHeight="1">
      <c r="A23" s="530" t="s">
        <v>830</v>
      </c>
      <c r="B23" s="536">
        <v>0</v>
      </c>
      <c r="C23" s="535">
        <v>0</v>
      </c>
      <c r="D23" s="51">
        <f t="shared" si="0"/>
        <v>0</v>
      </c>
      <c r="E23" s="535">
        <v>0</v>
      </c>
      <c r="F23" s="51">
        <f t="shared" si="1"/>
        <v>0</v>
      </c>
      <c r="G23" s="536">
        <v>0</v>
      </c>
      <c r="H23" s="519"/>
    </row>
    <row r="24" spans="1:8" ht="14.25" customHeight="1">
      <c r="A24" s="530" t="s">
        <v>831</v>
      </c>
      <c r="B24" s="536">
        <v>0</v>
      </c>
      <c r="C24" s="535">
        <v>0</v>
      </c>
      <c r="D24" s="51">
        <f t="shared" si="0"/>
        <v>0</v>
      </c>
      <c r="E24" s="535">
        <v>0</v>
      </c>
      <c r="F24" s="51">
        <f t="shared" si="1"/>
        <v>0</v>
      </c>
      <c r="G24" s="536">
        <v>0</v>
      </c>
      <c r="H24" s="519"/>
    </row>
    <row r="25" spans="1:8" ht="14.25" customHeight="1">
      <c r="A25" s="530" t="s">
        <v>832</v>
      </c>
      <c r="B25" s="536">
        <v>0</v>
      </c>
      <c r="C25" s="535">
        <v>0</v>
      </c>
      <c r="D25" s="51">
        <f t="shared" si="0"/>
        <v>0</v>
      </c>
      <c r="E25" s="535">
        <v>0</v>
      </c>
      <c r="F25" s="51">
        <f t="shared" si="1"/>
        <v>0</v>
      </c>
      <c r="G25" s="536">
        <v>0</v>
      </c>
      <c r="H25" s="519"/>
    </row>
    <row r="26" spans="1:8" ht="14.25" customHeight="1">
      <c r="A26" s="530" t="s">
        <v>833</v>
      </c>
      <c r="B26" s="536">
        <v>0</v>
      </c>
      <c r="C26" s="535">
        <v>0</v>
      </c>
      <c r="D26" s="51">
        <f t="shared" si="0"/>
        <v>0</v>
      </c>
      <c r="E26" s="535">
        <v>0</v>
      </c>
      <c r="F26" s="51">
        <f t="shared" si="1"/>
        <v>0</v>
      </c>
      <c r="G26" s="537">
        <v>0</v>
      </c>
      <c r="H26" s="519"/>
    </row>
    <row r="27" spans="1:8" ht="14.25" customHeight="1">
      <c r="A27" s="538" t="s">
        <v>834</v>
      </c>
      <c r="B27" s="539">
        <f>SUM(B13,B20,B23:B26)</f>
        <v>0</v>
      </c>
      <c r="C27" s="539">
        <f>SUM(C13,C20,C23:C26)</f>
        <v>0</v>
      </c>
      <c r="D27" s="497">
        <f t="shared" si="0"/>
        <v>0</v>
      </c>
      <c r="E27" s="539">
        <f>SUM(E13,E20,E23:E26)</f>
        <v>0</v>
      </c>
      <c r="F27" s="497">
        <f t="shared" si="1"/>
        <v>0</v>
      </c>
      <c r="G27" s="540">
        <f>SUM(G13,G20,G23:G26)</f>
        <v>0</v>
      </c>
      <c r="H27" s="519"/>
    </row>
    <row r="28" spans="1:7" ht="19.5" customHeight="1">
      <c r="A28" s="1165" t="s">
        <v>769</v>
      </c>
      <c r="B28" s="1165"/>
      <c r="C28" s="1165"/>
      <c r="D28" s="1165"/>
      <c r="E28" s="1165"/>
      <c r="F28" s="1166" t="s">
        <v>453</v>
      </c>
      <c r="G28" s="1166"/>
    </row>
    <row r="29" spans="1:7" ht="12.75" customHeight="1">
      <c r="A29" s="1163" t="s">
        <v>835</v>
      </c>
      <c r="B29" s="1163"/>
      <c r="C29" s="1163"/>
      <c r="D29" s="1163"/>
      <c r="E29" s="1163"/>
      <c r="F29" s="1167">
        <v>0</v>
      </c>
      <c r="G29" s="1167"/>
    </row>
    <row r="30" spans="1:7" s="541" customFormat="1" ht="12.75" customHeight="1" hidden="1">
      <c r="A30" s="1168" t="s">
        <v>836</v>
      </c>
      <c r="B30" s="1168"/>
      <c r="C30" s="1168"/>
      <c r="D30" s="1168"/>
      <c r="E30" s="1168"/>
      <c r="F30" s="1169"/>
      <c r="G30" s="1169"/>
    </row>
    <row r="31" spans="1:7" ht="12.75" customHeight="1">
      <c r="A31" s="1163" t="s">
        <v>837</v>
      </c>
      <c r="B31" s="1163"/>
      <c r="C31" s="1163"/>
      <c r="D31" s="1163"/>
      <c r="E31" s="1163"/>
      <c r="F31" s="1164">
        <v>0</v>
      </c>
      <c r="G31" s="1164"/>
    </row>
    <row r="32" spans="1:7" ht="13.5" customHeight="1">
      <c r="A32" s="1163" t="s">
        <v>838</v>
      </c>
      <c r="B32" s="1163"/>
      <c r="C32" s="1163"/>
      <c r="D32" s="1163"/>
      <c r="E32" s="1163"/>
      <c r="F32" s="1164">
        <v>0</v>
      </c>
      <c r="G32" s="1164"/>
    </row>
    <row r="33" spans="1:7" ht="13.5" customHeight="1">
      <c r="A33" s="1163" t="s">
        <v>839</v>
      </c>
      <c r="B33" s="1163"/>
      <c r="C33" s="1163"/>
      <c r="D33" s="1163"/>
      <c r="E33" s="1163"/>
      <c r="F33" s="1164">
        <v>0</v>
      </c>
      <c r="G33" s="1164"/>
    </row>
    <row r="34" spans="1:7" s="542" customFormat="1" ht="26.25" customHeight="1">
      <c r="A34" s="1159" t="s">
        <v>840</v>
      </c>
      <c r="B34" s="1159"/>
      <c r="C34" s="1159"/>
      <c r="D34" s="1159"/>
      <c r="E34" s="1159"/>
      <c r="F34" s="1160">
        <v>0</v>
      </c>
      <c r="G34" s="1160"/>
    </row>
    <row r="35" spans="1:7" ht="14.25" customHeight="1">
      <c r="A35" s="1161" t="s">
        <v>841</v>
      </c>
      <c r="B35" s="1161"/>
      <c r="C35" s="1161"/>
      <c r="D35" s="1161"/>
      <c r="E35" s="1161"/>
      <c r="F35" s="1162">
        <f>SUM(F29:G34)</f>
        <v>0</v>
      </c>
      <c r="G35" s="1162"/>
    </row>
    <row r="36" spans="1:7" ht="12.75" customHeight="1">
      <c r="A36" s="1161" t="s">
        <v>842</v>
      </c>
      <c r="B36" s="1161"/>
      <c r="C36" s="1161"/>
      <c r="D36" s="1161"/>
      <c r="E36" s="1161"/>
      <c r="F36" s="1162">
        <f>E27-F35</f>
        <v>0</v>
      </c>
      <c r="G36" s="1162"/>
    </row>
    <row r="37" spans="1:3" ht="12.75" customHeight="1">
      <c r="A37" s="1158" t="s">
        <v>843</v>
      </c>
      <c r="B37" s="1158"/>
      <c r="C37" s="1158"/>
    </row>
  </sheetData>
  <sheetProtection password="F3F6" sheet="1" objects="1" scenarios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1">
      <selection activeCell="A17" sqref="A17"/>
    </sheetView>
  </sheetViews>
  <sheetFormatPr defaultColWidth="6.28125" defaultRowHeight="11.25" customHeight="1"/>
  <cols>
    <col min="1" max="1" width="40.8515625" style="416" customWidth="1"/>
    <col min="2" max="2" width="29.8515625" style="416" customWidth="1"/>
    <col min="3" max="3" width="27.00390625" style="416" customWidth="1"/>
    <col min="4" max="4" width="47.00390625" style="416" customWidth="1"/>
    <col min="5" max="6" width="8.28125" style="416" customWidth="1"/>
    <col min="7" max="7" width="8.28125" style="435" customWidth="1"/>
    <col min="8" max="9" width="8.28125" style="416" customWidth="1"/>
    <col min="10" max="10" width="16.28125" style="416" customWidth="1"/>
    <col min="11" max="16384" width="6.28125" style="416" customWidth="1"/>
  </cols>
  <sheetData>
    <row r="1" spans="1:11" s="544" customFormat="1" ht="15.75" customHeight="1">
      <c r="A1" s="1189" t="s">
        <v>844</v>
      </c>
      <c r="B1" s="1189"/>
      <c r="C1" s="1189"/>
      <c r="D1" s="1189"/>
      <c r="E1" s="1189"/>
      <c r="F1" s="1189"/>
      <c r="G1" s="1189"/>
      <c r="H1" s="1189"/>
      <c r="I1" s="1189"/>
      <c r="J1" s="1189"/>
      <c r="K1" s="543"/>
    </row>
    <row r="2" spans="1:11" ht="11.25" customHeight="1">
      <c r="A2" s="1186"/>
      <c r="B2" s="1186"/>
      <c r="C2" s="1186"/>
      <c r="D2" s="1186"/>
      <c r="E2" s="1186"/>
      <c r="F2" s="1186"/>
      <c r="G2" s="1186"/>
      <c r="H2" s="1186"/>
      <c r="I2" s="1186"/>
      <c r="J2" s="1186"/>
      <c r="K2" s="546"/>
    </row>
    <row r="3" spans="1:11" ht="12.75" customHeight="1">
      <c r="A3" s="1155" t="str">
        <f>'Informações Iniciais'!A1</f>
        <v>MUNICÍPIO DE RIBAMAR FIQUENE - PODER EXECUTIVO</v>
      </c>
      <c r="B3" s="1155"/>
      <c r="C3" s="1155"/>
      <c r="D3" s="1155"/>
      <c r="E3" s="1155"/>
      <c r="F3" s="1155"/>
      <c r="G3" s="1155"/>
      <c r="H3" s="1155"/>
      <c r="I3" s="1155"/>
      <c r="J3" s="1155"/>
      <c r="K3" s="546"/>
    </row>
    <row r="4" spans="1:11" ht="12.75" customHeight="1">
      <c r="A4" s="1155" t="s">
        <v>0</v>
      </c>
      <c r="B4" s="1155"/>
      <c r="C4" s="1155"/>
      <c r="D4" s="1155"/>
      <c r="E4" s="1155"/>
      <c r="F4" s="1155"/>
      <c r="G4" s="1155"/>
      <c r="H4" s="1155"/>
      <c r="I4" s="1155"/>
      <c r="J4" s="1155"/>
      <c r="K4" s="546"/>
    </row>
    <row r="5" spans="1:11" ht="12.75" customHeight="1">
      <c r="A5" s="1188" t="s">
        <v>845</v>
      </c>
      <c r="B5" s="1188"/>
      <c r="C5" s="1188"/>
      <c r="D5" s="1188"/>
      <c r="E5" s="1188"/>
      <c r="F5" s="1188"/>
      <c r="G5" s="1188"/>
      <c r="H5" s="1188"/>
      <c r="I5" s="1188"/>
      <c r="J5" s="1188"/>
      <c r="K5" s="546"/>
    </row>
    <row r="6" spans="1:11" ht="12.75" customHeight="1">
      <c r="A6" s="1155" t="s">
        <v>29</v>
      </c>
      <c r="B6" s="1155"/>
      <c r="C6" s="1155"/>
      <c r="D6" s="1155"/>
      <c r="E6" s="1155"/>
      <c r="F6" s="1155"/>
      <c r="G6" s="1155"/>
      <c r="H6" s="1155"/>
      <c r="I6" s="1155"/>
      <c r="J6" s="1155"/>
      <c r="K6" s="546"/>
    </row>
    <row r="7" spans="1:11" ht="12.75" customHeight="1">
      <c r="A7" s="1155" t="str">
        <f>'Informações Iniciais'!A5</f>
        <v>3º Bimestre de 2020</v>
      </c>
      <c r="B7" s="1155"/>
      <c r="C7" s="1155"/>
      <c r="D7" s="1155"/>
      <c r="E7" s="1155"/>
      <c r="F7" s="1155"/>
      <c r="G7" s="1155"/>
      <c r="H7" s="1155"/>
      <c r="I7" s="1155"/>
      <c r="J7" s="1155"/>
      <c r="K7" s="546"/>
    </row>
    <row r="8" spans="1:11" ht="12.75" customHeight="1">
      <c r="A8" s="547"/>
      <c r="B8" s="1186"/>
      <c r="C8" s="1186"/>
      <c r="D8" s="547"/>
      <c r="E8" s="547"/>
      <c r="F8" s="1186"/>
      <c r="G8" s="1186"/>
      <c r="H8" s="1186"/>
      <c r="I8" s="1186"/>
      <c r="J8" s="547"/>
      <c r="K8" s="546"/>
    </row>
    <row r="9" spans="1:11" ht="12.75" customHeight="1">
      <c r="A9" s="457" t="s">
        <v>846</v>
      </c>
      <c r="B9" s="1186"/>
      <c r="C9" s="1186"/>
      <c r="D9" s="548" t="s">
        <v>31</v>
      </c>
      <c r="E9" s="545"/>
      <c r="F9" s="1186"/>
      <c r="G9" s="1186"/>
      <c r="H9" s="1186"/>
      <c r="I9" s="1186"/>
      <c r="J9"/>
      <c r="K9" s="546"/>
    </row>
    <row r="10" spans="1:5" s="552" customFormat="1" ht="14.25" customHeight="1">
      <c r="A10" s="1187" t="s">
        <v>32</v>
      </c>
      <c r="B10" s="549" t="s">
        <v>34</v>
      </c>
      <c r="C10" s="550" t="s">
        <v>35</v>
      </c>
      <c r="D10" s="550" t="s">
        <v>847</v>
      </c>
      <c r="E10" s="1181"/>
    </row>
    <row r="11" spans="1:5" s="555" customFormat="1" ht="12.75" customHeight="1">
      <c r="A11" s="1187"/>
      <c r="B11" s="553" t="s">
        <v>40</v>
      </c>
      <c r="C11" s="554" t="s">
        <v>41</v>
      </c>
      <c r="D11" s="554" t="s">
        <v>848</v>
      </c>
      <c r="E11" s="1181"/>
    </row>
    <row r="12" spans="1:5" s="552" customFormat="1" ht="15" customHeight="1">
      <c r="A12" s="556" t="s">
        <v>849</v>
      </c>
      <c r="B12" s="557">
        <v>0</v>
      </c>
      <c r="C12" s="557">
        <v>0</v>
      </c>
      <c r="D12" s="558">
        <f>B12-C12</f>
        <v>0</v>
      </c>
      <c r="E12" s="559"/>
    </row>
    <row r="13" spans="1:5" s="552" customFormat="1" ht="14.25" customHeight="1">
      <c r="A13" s="1183"/>
      <c r="B13" s="1183"/>
      <c r="C13" s="1183"/>
      <c r="D13" s="1183"/>
      <c r="E13" s="559"/>
    </row>
    <row r="14" spans="1:5" s="552" customFormat="1" ht="47.25" customHeight="1">
      <c r="A14" s="1187" t="s">
        <v>123</v>
      </c>
      <c r="B14" s="549" t="s">
        <v>118</v>
      </c>
      <c r="C14" s="550" t="s">
        <v>119</v>
      </c>
      <c r="D14" s="560" t="s">
        <v>850</v>
      </c>
      <c r="E14" s="551"/>
    </row>
    <row r="15" spans="1:5" s="552" customFormat="1" ht="24.75" customHeight="1">
      <c r="A15" s="1187"/>
      <c r="B15" s="553" t="s">
        <v>124</v>
      </c>
      <c r="C15" s="561" t="s">
        <v>125</v>
      </c>
      <c r="D15" s="562" t="s">
        <v>851</v>
      </c>
      <c r="E15" s="551"/>
    </row>
    <row r="16" spans="1:5" s="552" customFormat="1" ht="15" customHeight="1">
      <c r="A16" s="556" t="s">
        <v>852</v>
      </c>
      <c r="B16" s="563"/>
      <c r="C16" s="563"/>
      <c r="D16" s="558">
        <f aca="true" t="shared" si="0" ref="D16:D21">B16-C16</f>
        <v>0</v>
      </c>
      <c r="E16" s="559"/>
    </row>
    <row r="17" spans="1:5" s="552" customFormat="1" ht="15" customHeight="1">
      <c r="A17" s="556" t="s">
        <v>853</v>
      </c>
      <c r="B17" s="563">
        <v>0</v>
      </c>
      <c r="C17" s="563">
        <v>0</v>
      </c>
      <c r="D17" s="558">
        <f t="shared" si="0"/>
        <v>0</v>
      </c>
      <c r="E17" s="559"/>
    </row>
    <row r="18" spans="1:5" s="552" customFormat="1" ht="15" customHeight="1">
      <c r="A18" s="556" t="s">
        <v>854</v>
      </c>
      <c r="B18" s="563">
        <v>0</v>
      </c>
      <c r="C18" s="563">
        <v>0</v>
      </c>
      <c r="D18" s="558">
        <f t="shared" si="0"/>
        <v>0</v>
      </c>
      <c r="E18" s="559"/>
    </row>
    <row r="19" spans="1:5" s="552" customFormat="1" ht="15" customHeight="1">
      <c r="A19" s="556" t="s">
        <v>855</v>
      </c>
      <c r="B19" s="563">
        <v>0</v>
      </c>
      <c r="C19" s="563">
        <v>0</v>
      </c>
      <c r="D19" s="558">
        <f t="shared" si="0"/>
        <v>0</v>
      </c>
      <c r="E19" s="559"/>
    </row>
    <row r="20" spans="1:5" s="552" customFormat="1" ht="15" customHeight="1">
      <c r="A20" s="556" t="s">
        <v>856</v>
      </c>
      <c r="B20" s="563">
        <v>0</v>
      </c>
      <c r="C20" s="563">
        <v>0</v>
      </c>
      <c r="D20" s="558">
        <f t="shared" si="0"/>
        <v>0</v>
      </c>
      <c r="E20" s="559"/>
    </row>
    <row r="21" spans="1:5" s="552" customFormat="1" ht="26.25" customHeight="1">
      <c r="A21" s="556" t="s">
        <v>857</v>
      </c>
      <c r="B21" s="563">
        <v>0</v>
      </c>
      <c r="C21" s="563">
        <v>0</v>
      </c>
      <c r="D21" s="558">
        <f t="shared" si="0"/>
        <v>0</v>
      </c>
      <c r="E21" s="559"/>
    </row>
    <row r="22" spans="1:5" s="552" customFormat="1" ht="15" customHeight="1">
      <c r="A22" s="556" t="s">
        <v>858</v>
      </c>
      <c r="B22" s="564">
        <f>B17-ABS(B18)-ABS(B19)+ABS(B20)+ABS(B21)</f>
        <v>0</v>
      </c>
      <c r="C22" s="564">
        <f>C17-ABS(C18)-ABS(C19)+ABS(C20)+ABS(C21)</f>
        <v>0</v>
      </c>
      <c r="D22" s="565">
        <f>D17-ABS(D18)-ABS(D19)+ABS(D20)+ABS(D21)</f>
        <v>0</v>
      </c>
      <c r="E22" s="559"/>
    </row>
    <row r="23" spans="1:5" s="552" customFormat="1" ht="14.25" customHeight="1">
      <c r="A23" s="1183"/>
      <c r="B23" s="1183"/>
      <c r="C23" s="1183"/>
      <c r="D23" s="1183"/>
      <c r="E23" s="559"/>
    </row>
    <row r="24" spans="1:5" s="552" customFormat="1" ht="14.25" customHeight="1">
      <c r="A24" s="566" t="s">
        <v>859</v>
      </c>
      <c r="B24" s="1184">
        <f>B22-B12</f>
        <v>0</v>
      </c>
      <c r="C24" s="1184">
        <f>C222-C12</f>
        <v>0</v>
      </c>
      <c r="D24" s="1184">
        <f>D22-C12</f>
        <v>0</v>
      </c>
      <c r="E24" s="1181"/>
    </row>
    <row r="25" spans="1:5" s="552" customFormat="1" ht="14.25" customHeight="1">
      <c r="A25" s="567" t="s">
        <v>860</v>
      </c>
      <c r="B25" s="1184"/>
      <c r="C25" s="1184"/>
      <c r="D25" s="1184"/>
      <c r="E25" s="1181"/>
    </row>
    <row r="26" spans="1:5" s="552" customFormat="1" ht="12.75" customHeight="1">
      <c r="A26" s="1185" t="s">
        <v>531</v>
      </c>
      <c r="B26" s="1185"/>
      <c r="C26" s="1185"/>
      <c r="D26" s="1185"/>
      <c r="E26" s="559"/>
    </row>
    <row r="27" spans="1:5" s="552" customFormat="1" ht="14.25" customHeight="1">
      <c r="A27" s="1180" t="s">
        <v>861</v>
      </c>
      <c r="B27" s="1180"/>
      <c r="C27" s="1180"/>
      <c r="D27" s="1180"/>
      <c r="E27" s="1181"/>
    </row>
    <row r="28" spans="1:5" s="552" customFormat="1" ht="14.25" customHeight="1">
      <c r="A28" s="1182" t="s">
        <v>862</v>
      </c>
      <c r="B28" s="1182"/>
      <c r="C28" s="1182"/>
      <c r="D28" s="1182"/>
      <c r="E28" s="1181"/>
    </row>
  </sheetData>
  <sheetProtection password="F3F6" sheet="1"/>
  <mergeCells count="27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E10:E11"/>
    <mergeCell ref="A13:D13"/>
    <mergeCell ref="A14:A15"/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D16" sqref="D16"/>
    </sheetView>
  </sheetViews>
  <sheetFormatPr defaultColWidth="7.421875" defaultRowHeight="11.25" customHeight="1"/>
  <cols>
    <col min="1" max="1" width="9.57421875" style="568" customWidth="1"/>
    <col min="2" max="2" width="5.8515625" style="568" customWidth="1"/>
    <col min="3" max="3" width="13.57421875" style="568" customWidth="1"/>
    <col min="4" max="4" width="9.8515625" style="568" customWidth="1"/>
    <col min="5" max="5" width="11.57421875" style="568" customWidth="1"/>
    <col min="6" max="6" width="12.28125" style="568" customWidth="1"/>
    <col min="7" max="7" width="9.7109375" style="568" customWidth="1"/>
    <col min="8" max="8" width="15.7109375" style="568" customWidth="1"/>
    <col min="9" max="9" width="8.00390625" style="568" customWidth="1"/>
    <col min="10" max="10" width="25.28125" style="568" customWidth="1"/>
    <col min="11" max="11" width="2.00390625" style="568" customWidth="1"/>
    <col min="12" max="16384" width="7.421875" style="568" customWidth="1"/>
  </cols>
  <sheetData>
    <row r="1" spans="1:3" ht="15.75" customHeight="1">
      <c r="A1" s="151" t="s">
        <v>863</v>
      </c>
      <c r="B1" s="569"/>
      <c r="C1" s="569"/>
    </row>
    <row r="2" spans="12:15" ht="11.25" customHeight="1">
      <c r="L2" s="1204" t="s">
        <v>864</v>
      </c>
      <c r="M2" s="1204"/>
      <c r="N2" s="1204"/>
      <c r="O2" s="1204"/>
    </row>
    <row r="3" spans="1:15" ht="11.25" customHeight="1">
      <c r="A3" s="1205" t="str">
        <f>'Informações Iniciais'!A1:B1</f>
        <v>MUNICÍPIO DE RIBAMAR FIQUENE - PODER EXECUTIVO</v>
      </c>
      <c r="B3" s="1205"/>
      <c r="C3" s="1205"/>
      <c r="D3" s="1205"/>
      <c r="E3" s="1205"/>
      <c r="F3" s="1205"/>
      <c r="G3" s="1205"/>
      <c r="H3" s="1205"/>
      <c r="I3" s="1205"/>
      <c r="J3" s="1205"/>
      <c r="L3" s="1204"/>
      <c r="M3" s="1204"/>
      <c r="N3" s="1204"/>
      <c r="O3" s="1204"/>
    </row>
    <row r="4" spans="1:10" ht="11.25" customHeight="1">
      <c r="A4" s="1205" t="s">
        <v>0</v>
      </c>
      <c r="B4" s="1205"/>
      <c r="C4" s="1205"/>
      <c r="D4" s="1205"/>
      <c r="E4" s="1205"/>
      <c r="F4" s="1205"/>
      <c r="G4" s="1205"/>
      <c r="H4" s="1205"/>
      <c r="I4" s="1205"/>
      <c r="J4" s="1205"/>
    </row>
    <row r="5" spans="1:20" ht="11.25" customHeight="1">
      <c r="A5" s="1206" t="s">
        <v>865</v>
      </c>
      <c r="B5" s="1206"/>
      <c r="C5" s="1206"/>
      <c r="D5" s="1206"/>
      <c r="E5" s="1206"/>
      <c r="F5" s="1206"/>
      <c r="G5" s="1206"/>
      <c r="H5" s="1206"/>
      <c r="I5" s="1206"/>
      <c r="J5" s="1206"/>
      <c r="L5" s="1207" t="s">
        <v>866</v>
      </c>
      <c r="M5" s="1207"/>
      <c r="N5" s="1207"/>
      <c r="O5" s="1207"/>
      <c r="P5" s="570"/>
      <c r="Q5" s="570"/>
      <c r="R5" s="570"/>
      <c r="S5" s="570"/>
      <c r="T5" s="570"/>
    </row>
    <row r="6" spans="1:20" ht="11.25" customHeight="1">
      <c r="A6" s="1205" t="s">
        <v>404</v>
      </c>
      <c r="B6" s="1205"/>
      <c r="C6" s="1205"/>
      <c r="D6" s="1205"/>
      <c r="E6" s="1205"/>
      <c r="F6" s="1205"/>
      <c r="G6" s="1205"/>
      <c r="H6" s="1205"/>
      <c r="I6" s="1205"/>
      <c r="J6" s="1205"/>
      <c r="L6" s="1207"/>
      <c r="M6" s="1207"/>
      <c r="N6" s="1207"/>
      <c r="O6" s="1207"/>
      <c r="P6" s="570"/>
      <c r="Q6" s="570"/>
      <c r="R6" s="570"/>
      <c r="S6" s="570"/>
      <c r="T6" s="570"/>
    </row>
    <row r="7" spans="1:20" ht="11.25" customHeight="1">
      <c r="A7" s="1205" t="str">
        <f>'Informações Iniciais'!A5:B5</f>
        <v>3º Bimestre de 2020</v>
      </c>
      <c r="B7" s="1205"/>
      <c r="C7" s="1205"/>
      <c r="D7" s="1205"/>
      <c r="E7" s="1205"/>
      <c r="F7" s="1205"/>
      <c r="G7" s="1205"/>
      <c r="H7" s="1205"/>
      <c r="I7" s="1205"/>
      <c r="J7" s="1205"/>
      <c r="L7" s="1207"/>
      <c r="M7" s="1207"/>
      <c r="N7" s="1207"/>
      <c r="O7" s="1207"/>
      <c r="P7" s="570"/>
      <c r="Q7" s="570"/>
      <c r="R7" s="570"/>
      <c r="S7" s="570"/>
      <c r="T7" s="570"/>
    </row>
    <row r="8" spans="12:20" ht="11.25" customHeight="1">
      <c r="L8" s="1207"/>
      <c r="M8" s="1207"/>
      <c r="N8" s="1207"/>
      <c r="O8" s="1207"/>
      <c r="P8" s="570"/>
      <c r="Q8" s="570"/>
      <c r="R8" s="570"/>
      <c r="S8" s="570"/>
      <c r="T8" s="570"/>
    </row>
    <row r="9" spans="1:20" ht="11.25" customHeight="1">
      <c r="A9" s="568" t="s">
        <v>867</v>
      </c>
      <c r="D9" s="571"/>
      <c r="E9" s="1208"/>
      <c r="F9" s="1208"/>
      <c r="G9" s="571"/>
      <c r="J9" s="572" t="s">
        <v>31</v>
      </c>
      <c r="L9" s="1207"/>
      <c r="M9" s="1207"/>
      <c r="N9" s="1207"/>
      <c r="O9" s="1207"/>
      <c r="P9" s="570"/>
      <c r="Q9" s="570"/>
      <c r="R9" s="570"/>
      <c r="S9" s="570"/>
      <c r="T9" s="570"/>
    </row>
    <row r="10" spans="1:20" ht="15" customHeight="1">
      <c r="A10" s="1209" t="s">
        <v>868</v>
      </c>
      <c r="B10" s="1209"/>
      <c r="C10" s="1209"/>
      <c r="D10" s="1201" t="s">
        <v>869</v>
      </c>
      <c r="E10" s="1201"/>
      <c r="F10" s="1201" t="s">
        <v>123</v>
      </c>
      <c r="G10" s="1201"/>
      <c r="H10" s="1201" t="s">
        <v>870</v>
      </c>
      <c r="I10" s="1201"/>
      <c r="J10" s="573" t="s">
        <v>871</v>
      </c>
      <c r="L10" s="1207"/>
      <c r="M10" s="1207"/>
      <c r="N10" s="1207"/>
      <c r="O10" s="1207"/>
      <c r="P10" s="570"/>
      <c r="Q10" s="570"/>
      <c r="R10" s="570"/>
      <c r="S10" s="570"/>
      <c r="T10" s="570"/>
    </row>
    <row r="11" spans="1:20" ht="15" customHeight="1">
      <c r="A11" s="1209"/>
      <c r="B11" s="1209"/>
      <c r="C11" s="1209"/>
      <c r="D11" s="1202" t="s">
        <v>872</v>
      </c>
      <c r="E11" s="1202"/>
      <c r="F11" s="1202" t="s">
        <v>872</v>
      </c>
      <c r="G11" s="1202"/>
      <c r="H11" s="1202" t="s">
        <v>873</v>
      </c>
      <c r="I11" s="1202"/>
      <c r="J11" s="574" t="s">
        <v>874</v>
      </c>
      <c r="L11" s="1207"/>
      <c r="M11" s="1207"/>
      <c r="N11" s="1207"/>
      <c r="O11" s="1207"/>
      <c r="P11" s="570"/>
      <c r="Q11" s="570"/>
      <c r="R11" s="570"/>
      <c r="S11" s="570"/>
      <c r="T11" s="570"/>
    </row>
    <row r="12" spans="1:15" ht="19.5" customHeight="1">
      <c r="A12" s="1209"/>
      <c r="B12" s="1209"/>
      <c r="C12" s="1209"/>
      <c r="D12" s="1203" t="s">
        <v>40</v>
      </c>
      <c r="E12" s="1203"/>
      <c r="F12" s="1203" t="s">
        <v>41</v>
      </c>
      <c r="G12" s="1203"/>
      <c r="H12" s="1203" t="s">
        <v>875</v>
      </c>
      <c r="I12" s="1203"/>
      <c r="J12" s="575" t="s">
        <v>876</v>
      </c>
      <c r="L12" s="1207"/>
      <c r="M12" s="1207"/>
      <c r="N12" s="1207"/>
      <c r="O12" s="1207"/>
    </row>
    <row r="13" spans="1:15" ht="11.25" customHeight="1">
      <c r="A13" s="1198">
        <v>2019</v>
      </c>
      <c r="B13" s="1198"/>
      <c r="C13" s="1198"/>
      <c r="D13" s="1199">
        <v>0</v>
      </c>
      <c r="E13" s="1199"/>
      <c r="F13" s="1199">
        <v>0</v>
      </c>
      <c r="G13" s="1199"/>
      <c r="H13" s="1200">
        <f aca="true" t="shared" si="0" ref="H13:H89">D13-F13</f>
        <v>0</v>
      </c>
      <c r="I13" s="1200"/>
      <c r="J13" s="577">
        <v>0</v>
      </c>
      <c r="L13" s="1207"/>
      <c r="M13" s="1207"/>
      <c r="N13" s="1207"/>
      <c r="O13" s="1207"/>
    </row>
    <row r="14" spans="1:15" ht="11.25" customHeight="1">
      <c r="A14" s="1190">
        <v>2020</v>
      </c>
      <c r="B14" s="1190"/>
      <c r="C14" s="1190"/>
      <c r="D14" s="1195">
        <v>0</v>
      </c>
      <c r="E14" s="1195"/>
      <c r="F14" s="1195">
        <v>0</v>
      </c>
      <c r="G14" s="1195"/>
      <c r="H14" s="1196">
        <f t="shared" si="0"/>
        <v>0</v>
      </c>
      <c r="I14" s="1196"/>
      <c r="J14" s="579">
        <f aca="true" t="shared" si="1" ref="J14:J89">J13+H14</f>
        <v>0</v>
      </c>
      <c r="L14" s="1207"/>
      <c r="M14" s="1207"/>
      <c r="N14" s="1207"/>
      <c r="O14" s="1207"/>
    </row>
    <row r="15" spans="1:15" ht="11.25" customHeight="1">
      <c r="A15" s="1190">
        <v>2021</v>
      </c>
      <c r="B15" s="1190"/>
      <c r="C15" s="1190"/>
      <c r="D15" s="1195">
        <v>0</v>
      </c>
      <c r="E15" s="1195"/>
      <c r="F15" s="1197">
        <v>0</v>
      </c>
      <c r="G15" s="1197"/>
      <c r="H15" s="1196">
        <f t="shared" si="0"/>
        <v>0</v>
      </c>
      <c r="I15" s="1196"/>
      <c r="J15" s="579">
        <f t="shared" si="1"/>
        <v>0</v>
      </c>
      <c r="L15" s="1207"/>
      <c r="M15" s="1207"/>
      <c r="N15" s="1207"/>
      <c r="O15" s="1207"/>
    </row>
    <row r="16" spans="1:15" ht="11.25" customHeight="1">
      <c r="A16" s="1190">
        <v>2022</v>
      </c>
      <c r="B16" s="1190"/>
      <c r="C16" s="1190"/>
      <c r="D16" s="1195">
        <v>0</v>
      </c>
      <c r="E16" s="1195"/>
      <c r="F16" s="1197">
        <v>0</v>
      </c>
      <c r="G16" s="1197"/>
      <c r="H16" s="1196">
        <f t="shared" si="0"/>
        <v>0</v>
      </c>
      <c r="I16" s="1196"/>
      <c r="J16" s="579">
        <f t="shared" si="1"/>
        <v>0</v>
      </c>
      <c r="L16" s="1207"/>
      <c r="M16" s="1207"/>
      <c r="N16" s="1207"/>
      <c r="O16" s="1207"/>
    </row>
    <row r="17" spans="1:20" ht="15.75" customHeight="1">
      <c r="A17" s="1190">
        <v>2023</v>
      </c>
      <c r="B17" s="1190"/>
      <c r="C17" s="1190"/>
      <c r="D17" s="1195">
        <v>0</v>
      </c>
      <c r="E17" s="1195"/>
      <c r="F17" s="1195">
        <v>0</v>
      </c>
      <c r="G17" s="1195"/>
      <c r="H17" s="1196">
        <f t="shared" si="0"/>
        <v>0</v>
      </c>
      <c r="I17" s="1196"/>
      <c r="J17" s="579">
        <f t="shared" si="1"/>
        <v>0</v>
      </c>
      <c r="L17" s="1207"/>
      <c r="M17" s="1207"/>
      <c r="N17" s="1207"/>
      <c r="O17" s="1207"/>
      <c r="P17" s="570"/>
      <c r="Q17" s="570"/>
      <c r="R17" s="570"/>
      <c r="S17" s="570"/>
      <c r="T17" s="570"/>
    </row>
    <row r="18" spans="1:20" ht="15.75" customHeight="1">
      <c r="A18" s="1190">
        <v>2024</v>
      </c>
      <c r="B18" s="1190"/>
      <c r="C18" s="1190"/>
      <c r="D18" s="1195">
        <v>0</v>
      </c>
      <c r="E18" s="1195"/>
      <c r="F18" s="1195">
        <v>0</v>
      </c>
      <c r="G18" s="1195"/>
      <c r="H18" s="1196">
        <f t="shared" si="0"/>
        <v>0</v>
      </c>
      <c r="I18" s="1196"/>
      <c r="J18" s="579">
        <f t="shared" si="1"/>
        <v>0</v>
      </c>
      <c r="L18" s="1207"/>
      <c r="M18" s="1207"/>
      <c r="N18" s="1207"/>
      <c r="O18" s="1207"/>
      <c r="P18" s="570"/>
      <c r="Q18" s="570"/>
      <c r="R18" s="570"/>
      <c r="S18" s="570"/>
      <c r="T18" s="570"/>
    </row>
    <row r="19" spans="1:20" ht="15.75" customHeight="1">
      <c r="A19" s="1190">
        <v>2025</v>
      </c>
      <c r="B19" s="1190"/>
      <c r="C19" s="1190"/>
      <c r="D19" s="1195">
        <v>0</v>
      </c>
      <c r="E19" s="1195"/>
      <c r="F19" s="1195">
        <v>0</v>
      </c>
      <c r="G19" s="1195"/>
      <c r="H19" s="1196">
        <f t="shared" si="0"/>
        <v>0</v>
      </c>
      <c r="I19" s="1196"/>
      <c r="J19" s="579">
        <f t="shared" si="1"/>
        <v>0</v>
      </c>
      <c r="L19" s="1207"/>
      <c r="M19" s="1207"/>
      <c r="N19" s="1207"/>
      <c r="O19" s="1207"/>
      <c r="P19" s="570"/>
      <c r="Q19" s="570"/>
      <c r="R19" s="570"/>
      <c r="S19" s="570"/>
      <c r="T19" s="570"/>
    </row>
    <row r="20" spans="1:20" ht="15.75" customHeight="1">
      <c r="A20" s="1190">
        <v>2026</v>
      </c>
      <c r="B20" s="1190"/>
      <c r="C20" s="1190"/>
      <c r="D20" s="1195">
        <v>0</v>
      </c>
      <c r="E20" s="1195"/>
      <c r="F20" s="1195">
        <v>0</v>
      </c>
      <c r="G20" s="1195"/>
      <c r="H20" s="1196">
        <f t="shared" si="0"/>
        <v>0</v>
      </c>
      <c r="I20" s="1196"/>
      <c r="J20" s="579">
        <f t="shared" si="1"/>
        <v>0</v>
      </c>
      <c r="L20" s="1207"/>
      <c r="M20" s="1207"/>
      <c r="N20" s="1207"/>
      <c r="O20" s="1207"/>
      <c r="P20" s="570"/>
      <c r="Q20" s="570"/>
      <c r="R20" s="570"/>
      <c r="S20" s="570"/>
      <c r="T20" s="570"/>
    </row>
    <row r="21" spans="1:20" ht="15.75" customHeight="1">
      <c r="A21" s="1190">
        <v>2027</v>
      </c>
      <c r="B21" s="1190"/>
      <c r="C21" s="1190"/>
      <c r="D21" s="1195">
        <v>0</v>
      </c>
      <c r="E21" s="1195"/>
      <c r="F21" s="1195">
        <v>0</v>
      </c>
      <c r="G21" s="1195"/>
      <c r="H21" s="1196">
        <f t="shared" si="0"/>
        <v>0</v>
      </c>
      <c r="I21" s="1196"/>
      <c r="J21" s="579">
        <f t="shared" si="1"/>
        <v>0</v>
      </c>
      <c r="L21" s="1207"/>
      <c r="M21" s="1207"/>
      <c r="N21" s="1207"/>
      <c r="O21" s="1207"/>
      <c r="P21" s="570"/>
      <c r="Q21" s="570"/>
      <c r="R21" s="570"/>
      <c r="S21" s="570"/>
      <c r="T21" s="570"/>
    </row>
    <row r="22" spans="1:20" ht="15.75" customHeight="1">
      <c r="A22" s="1190">
        <v>2028</v>
      </c>
      <c r="B22" s="1190"/>
      <c r="C22" s="1190"/>
      <c r="D22" s="1195">
        <v>0</v>
      </c>
      <c r="E22" s="1195"/>
      <c r="F22" s="1195">
        <v>0</v>
      </c>
      <c r="G22" s="1195"/>
      <c r="H22" s="1196">
        <f t="shared" si="0"/>
        <v>0</v>
      </c>
      <c r="I22" s="1196"/>
      <c r="J22" s="579">
        <f t="shared" si="1"/>
        <v>0</v>
      </c>
      <c r="L22" s="1207"/>
      <c r="M22" s="1207"/>
      <c r="N22" s="1207"/>
      <c r="O22" s="1207"/>
      <c r="P22" s="570"/>
      <c r="Q22" s="570"/>
      <c r="R22" s="570"/>
      <c r="S22" s="570"/>
      <c r="T22" s="570"/>
    </row>
    <row r="23" spans="1:20" ht="15.75" customHeight="1">
      <c r="A23" s="1190">
        <v>2029</v>
      </c>
      <c r="B23" s="1190"/>
      <c r="C23" s="1190"/>
      <c r="D23" s="1195">
        <v>0</v>
      </c>
      <c r="E23" s="1195"/>
      <c r="F23" s="1195">
        <v>0</v>
      </c>
      <c r="G23" s="1195"/>
      <c r="H23" s="1196">
        <f t="shared" si="0"/>
        <v>0</v>
      </c>
      <c r="I23" s="1196"/>
      <c r="J23" s="579">
        <f t="shared" si="1"/>
        <v>0</v>
      </c>
      <c r="L23" s="1207"/>
      <c r="M23" s="1207"/>
      <c r="N23" s="1207"/>
      <c r="O23" s="1207"/>
      <c r="P23" s="570"/>
      <c r="Q23" s="570"/>
      <c r="R23" s="570"/>
      <c r="S23" s="570"/>
      <c r="T23" s="570"/>
    </row>
    <row r="24" spans="1:20" ht="15.75" customHeight="1">
      <c r="A24" s="1190">
        <v>2030</v>
      </c>
      <c r="B24" s="1190"/>
      <c r="C24" s="1190"/>
      <c r="D24" s="1195">
        <v>0</v>
      </c>
      <c r="E24" s="1195"/>
      <c r="F24" s="1195">
        <v>0</v>
      </c>
      <c r="G24" s="1195"/>
      <c r="H24" s="1196">
        <f t="shared" si="0"/>
        <v>0</v>
      </c>
      <c r="I24" s="1196"/>
      <c r="J24" s="579">
        <f t="shared" si="1"/>
        <v>0</v>
      </c>
      <c r="L24" s="1207"/>
      <c r="M24" s="1207"/>
      <c r="N24" s="1207"/>
      <c r="O24" s="1207"/>
      <c r="P24" s="570"/>
      <c r="Q24" s="570"/>
      <c r="R24" s="570"/>
      <c r="S24" s="570"/>
      <c r="T24" s="570"/>
    </row>
    <row r="25" spans="1:20" ht="15.75" customHeight="1">
      <c r="A25" s="1190">
        <v>2031</v>
      </c>
      <c r="B25" s="1190"/>
      <c r="C25" s="1190"/>
      <c r="D25" s="1195">
        <v>0</v>
      </c>
      <c r="E25" s="1195"/>
      <c r="F25" s="1195">
        <v>0</v>
      </c>
      <c r="G25" s="1195"/>
      <c r="H25" s="1196">
        <f t="shared" si="0"/>
        <v>0</v>
      </c>
      <c r="I25" s="1196"/>
      <c r="J25" s="579">
        <f t="shared" si="1"/>
        <v>0</v>
      </c>
      <c r="L25" s="1207"/>
      <c r="M25" s="1207"/>
      <c r="N25" s="1207"/>
      <c r="O25" s="1207"/>
      <c r="P25" s="570"/>
      <c r="Q25" s="570"/>
      <c r="R25" s="570"/>
      <c r="S25" s="570"/>
      <c r="T25" s="570"/>
    </row>
    <row r="26" spans="1:20" ht="15.75" customHeight="1">
      <c r="A26" s="1190">
        <v>2032</v>
      </c>
      <c r="B26" s="1190"/>
      <c r="C26" s="1190"/>
      <c r="D26" s="1195">
        <v>0</v>
      </c>
      <c r="E26" s="1195"/>
      <c r="F26" s="1195">
        <v>0</v>
      </c>
      <c r="G26" s="1195"/>
      <c r="H26" s="1196">
        <f t="shared" si="0"/>
        <v>0</v>
      </c>
      <c r="I26" s="1196"/>
      <c r="J26" s="579">
        <f t="shared" si="1"/>
        <v>0</v>
      </c>
      <c r="L26" s="1207"/>
      <c r="M26" s="1207"/>
      <c r="N26" s="1207"/>
      <c r="O26" s="1207"/>
      <c r="P26" s="570"/>
      <c r="Q26" s="570"/>
      <c r="R26" s="570"/>
      <c r="S26" s="570"/>
      <c r="T26" s="570"/>
    </row>
    <row r="27" spans="1:20" ht="15.75" customHeight="1">
      <c r="A27" s="1190">
        <v>2033</v>
      </c>
      <c r="B27" s="1190"/>
      <c r="C27" s="1190"/>
      <c r="D27" s="1195">
        <v>0</v>
      </c>
      <c r="E27" s="1195"/>
      <c r="F27" s="1195">
        <v>0</v>
      </c>
      <c r="G27" s="1195"/>
      <c r="H27" s="1196">
        <f t="shared" si="0"/>
        <v>0</v>
      </c>
      <c r="I27" s="1196"/>
      <c r="J27" s="579">
        <f t="shared" si="1"/>
        <v>0</v>
      </c>
      <c r="L27" s="1207"/>
      <c r="M27" s="1207"/>
      <c r="N27" s="1207"/>
      <c r="O27" s="1207"/>
      <c r="P27" s="570"/>
      <c r="Q27" s="570"/>
      <c r="R27" s="570"/>
      <c r="S27" s="570"/>
      <c r="T27" s="570"/>
    </row>
    <row r="28" spans="1:20" ht="15.75" customHeight="1">
      <c r="A28" s="1190">
        <v>2034</v>
      </c>
      <c r="B28" s="1190"/>
      <c r="C28" s="1190"/>
      <c r="D28" s="1195">
        <v>0</v>
      </c>
      <c r="E28" s="1195"/>
      <c r="F28" s="1195">
        <v>0</v>
      </c>
      <c r="G28" s="1195"/>
      <c r="H28" s="1196">
        <f t="shared" si="0"/>
        <v>0</v>
      </c>
      <c r="I28" s="1196"/>
      <c r="J28" s="579">
        <f t="shared" si="1"/>
        <v>0</v>
      </c>
      <c r="L28" s="1207"/>
      <c r="M28" s="1207"/>
      <c r="N28" s="1207"/>
      <c r="O28" s="1207"/>
      <c r="P28" s="570"/>
      <c r="Q28" s="570"/>
      <c r="R28" s="570"/>
      <c r="S28" s="570"/>
      <c r="T28" s="570"/>
    </row>
    <row r="29" spans="1:20" ht="15.75" customHeight="1">
      <c r="A29" s="1190">
        <v>2035</v>
      </c>
      <c r="B29" s="1190"/>
      <c r="C29" s="1190"/>
      <c r="D29" s="1195">
        <v>0</v>
      </c>
      <c r="E29" s="1195"/>
      <c r="F29" s="1195">
        <v>0</v>
      </c>
      <c r="G29" s="1195"/>
      <c r="H29" s="1196">
        <f t="shared" si="0"/>
        <v>0</v>
      </c>
      <c r="I29" s="1196"/>
      <c r="J29" s="579">
        <f t="shared" si="1"/>
        <v>0</v>
      </c>
      <c r="L29" s="1207"/>
      <c r="M29" s="1207"/>
      <c r="N29" s="1207"/>
      <c r="O29" s="1207"/>
      <c r="P29" s="570"/>
      <c r="Q29" s="570"/>
      <c r="R29" s="570"/>
      <c r="S29" s="570"/>
      <c r="T29" s="570"/>
    </row>
    <row r="30" spans="1:20" ht="15.75" customHeight="1">
      <c r="A30" s="1190">
        <v>2036</v>
      </c>
      <c r="B30" s="1190"/>
      <c r="C30" s="1190"/>
      <c r="D30" s="1195">
        <v>0</v>
      </c>
      <c r="E30" s="1195"/>
      <c r="F30" s="1195">
        <v>0</v>
      </c>
      <c r="G30" s="1195"/>
      <c r="H30" s="1196">
        <f t="shared" si="0"/>
        <v>0</v>
      </c>
      <c r="I30" s="1196"/>
      <c r="J30" s="579">
        <f t="shared" si="1"/>
        <v>0</v>
      </c>
      <c r="L30" s="1207"/>
      <c r="M30" s="1207"/>
      <c r="N30" s="1207"/>
      <c r="O30" s="1207"/>
      <c r="P30" s="570"/>
      <c r="Q30" s="570"/>
      <c r="R30" s="570"/>
      <c r="S30" s="570"/>
      <c r="T30" s="570"/>
    </row>
    <row r="31" spans="1:20" ht="15.75" customHeight="1">
      <c r="A31" s="1190">
        <v>2037</v>
      </c>
      <c r="B31" s="1190"/>
      <c r="C31" s="1190"/>
      <c r="D31" s="1195">
        <v>0</v>
      </c>
      <c r="E31" s="1195"/>
      <c r="F31" s="1195">
        <v>0</v>
      </c>
      <c r="G31" s="1195"/>
      <c r="H31" s="1196">
        <f t="shared" si="0"/>
        <v>0</v>
      </c>
      <c r="I31" s="1196"/>
      <c r="J31" s="579">
        <f t="shared" si="1"/>
        <v>0</v>
      </c>
      <c r="L31" s="1207"/>
      <c r="M31" s="1207"/>
      <c r="N31" s="1207"/>
      <c r="O31" s="1207"/>
      <c r="P31" s="570"/>
      <c r="Q31" s="570"/>
      <c r="R31" s="570"/>
      <c r="S31" s="570"/>
      <c r="T31" s="570"/>
    </row>
    <row r="32" spans="1:20" ht="15.75" customHeight="1">
      <c r="A32" s="1190">
        <v>2038</v>
      </c>
      <c r="B32" s="1190"/>
      <c r="C32" s="1190"/>
      <c r="D32" s="1195">
        <v>0</v>
      </c>
      <c r="E32" s="1195"/>
      <c r="F32" s="1195">
        <v>0</v>
      </c>
      <c r="G32" s="1195"/>
      <c r="H32" s="1196">
        <f t="shared" si="0"/>
        <v>0</v>
      </c>
      <c r="I32" s="1196"/>
      <c r="J32" s="579">
        <f t="shared" si="1"/>
        <v>0</v>
      </c>
      <c r="L32" s="1207"/>
      <c r="M32" s="1207"/>
      <c r="N32" s="1207"/>
      <c r="O32" s="1207"/>
      <c r="P32" s="570"/>
      <c r="Q32" s="570"/>
      <c r="R32" s="570"/>
      <c r="S32" s="570"/>
      <c r="T32" s="570"/>
    </row>
    <row r="33" spans="1:20" ht="15.75" customHeight="1">
      <c r="A33" s="1190">
        <v>2039</v>
      </c>
      <c r="B33" s="1190"/>
      <c r="C33" s="1190"/>
      <c r="D33" s="1195">
        <v>0</v>
      </c>
      <c r="E33" s="1195"/>
      <c r="F33" s="1195">
        <v>0</v>
      </c>
      <c r="G33" s="1195"/>
      <c r="H33" s="1196">
        <f t="shared" si="0"/>
        <v>0</v>
      </c>
      <c r="I33" s="1196"/>
      <c r="J33" s="579">
        <f t="shared" si="1"/>
        <v>0</v>
      </c>
      <c r="L33" s="1207"/>
      <c r="M33" s="1207"/>
      <c r="N33" s="1207"/>
      <c r="O33" s="1207"/>
      <c r="P33" s="570"/>
      <c r="Q33" s="570"/>
      <c r="R33" s="570"/>
      <c r="S33" s="570"/>
      <c r="T33" s="570"/>
    </row>
    <row r="34" spans="1:20" ht="15.75" customHeight="1">
      <c r="A34" s="1190">
        <v>2040</v>
      </c>
      <c r="B34" s="1190"/>
      <c r="C34" s="1190"/>
      <c r="D34" s="1195">
        <v>0</v>
      </c>
      <c r="E34" s="1195"/>
      <c r="F34" s="1195">
        <v>0</v>
      </c>
      <c r="G34" s="1195"/>
      <c r="H34" s="1196">
        <f t="shared" si="0"/>
        <v>0</v>
      </c>
      <c r="I34" s="1196"/>
      <c r="J34" s="579">
        <f t="shared" si="1"/>
        <v>0</v>
      </c>
      <c r="L34" s="1207"/>
      <c r="M34" s="1207"/>
      <c r="N34" s="1207"/>
      <c r="O34" s="1207"/>
      <c r="P34" s="570"/>
      <c r="Q34" s="570"/>
      <c r="R34" s="570"/>
      <c r="S34" s="570"/>
      <c r="T34" s="570"/>
    </row>
    <row r="35" spans="1:20" ht="15.75" customHeight="1">
      <c r="A35" s="1190">
        <v>2041</v>
      </c>
      <c r="B35" s="1190"/>
      <c r="C35" s="1190"/>
      <c r="D35" s="1195">
        <v>0</v>
      </c>
      <c r="E35" s="1195"/>
      <c r="F35" s="1195">
        <v>0</v>
      </c>
      <c r="G35" s="1195"/>
      <c r="H35" s="1196">
        <f t="shared" si="0"/>
        <v>0</v>
      </c>
      <c r="I35" s="1196"/>
      <c r="J35" s="579">
        <f t="shared" si="1"/>
        <v>0</v>
      </c>
      <c r="L35" s="1207"/>
      <c r="M35" s="1207"/>
      <c r="N35" s="1207"/>
      <c r="O35" s="1207"/>
      <c r="P35" s="570"/>
      <c r="Q35" s="570"/>
      <c r="R35" s="570"/>
      <c r="S35" s="570"/>
      <c r="T35" s="570"/>
    </row>
    <row r="36" spans="1:20" ht="15.75" customHeight="1">
      <c r="A36" s="1190">
        <v>2042</v>
      </c>
      <c r="B36" s="1190"/>
      <c r="C36" s="1190"/>
      <c r="D36" s="1195">
        <v>0</v>
      </c>
      <c r="E36" s="1195"/>
      <c r="F36" s="1195">
        <v>0</v>
      </c>
      <c r="G36" s="1195"/>
      <c r="H36" s="1196">
        <f t="shared" si="0"/>
        <v>0</v>
      </c>
      <c r="I36" s="1196"/>
      <c r="J36" s="579">
        <f t="shared" si="1"/>
        <v>0</v>
      </c>
      <c r="L36" s="1207"/>
      <c r="M36" s="1207"/>
      <c r="N36" s="1207"/>
      <c r="O36" s="1207"/>
      <c r="P36" s="570"/>
      <c r="Q36" s="570"/>
      <c r="R36" s="570"/>
      <c r="S36" s="570"/>
      <c r="T36" s="570"/>
    </row>
    <row r="37" spans="1:20" ht="15.75" customHeight="1">
      <c r="A37" s="1190">
        <v>2043</v>
      </c>
      <c r="B37" s="1190"/>
      <c r="C37" s="1190"/>
      <c r="D37" s="1195">
        <v>0</v>
      </c>
      <c r="E37" s="1195"/>
      <c r="F37" s="1195">
        <v>0</v>
      </c>
      <c r="G37" s="1195"/>
      <c r="H37" s="1196">
        <f t="shared" si="0"/>
        <v>0</v>
      </c>
      <c r="I37" s="1196"/>
      <c r="J37" s="579">
        <f t="shared" si="1"/>
        <v>0</v>
      </c>
      <c r="L37" s="1207"/>
      <c r="M37" s="1207"/>
      <c r="N37" s="1207"/>
      <c r="O37" s="1207"/>
      <c r="P37" s="570"/>
      <c r="Q37" s="570"/>
      <c r="R37" s="570"/>
      <c r="S37" s="570"/>
      <c r="T37" s="570"/>
    </row>
    <row r="38" spans="1:20" ht="15.75" customHeight="1">
      <c r="A38" s="1190">
        <v>2044</v>
      </c>
      <c r="B38" s="1190"/>
      <c r="C38" s="1190"/>
      <c r="D38" s="1195">
        <v>0</v>
      </c>
      <c r="E38" s="1195"/>
      <c r="F38" s="1195">
        <v>0</v>
      </c>
      <c r="G38" s="1195"/>
      <c r="H38" s="1196">
        <f t="shared" si="0"/>
        <v>0</v>
      </c>
      <c r="I38" s="1196"/>
      <c r="J38" s="579">
        <f t="shared" si="1"/>
        <v>0</v>
      </c>
      <c r="L38" s="1207"/>
      <c r="M38" s="1207"/>
      <c r="N38" s="1207"/>
      <c r="O38" s="1207"/>
      <c r="P38" s="570"/>
      <c r="Q38" s="570"/>
      <c r="R38" s="570"/>
      <c r="S38" s="570"/>
      <c r="T38" s="570"/>
    </row>
    <row r="39" spans="1:20" ht="15.75" customHeight="1">
      <c r="A39" s="1190">
        <v>2045</v>
      </c>
      <c r="B39" s="1190"/>
      <c r="C39" s="1190"/>
      <c r="D39" s="1195">
        <v>0</v>
      </c>
      <c r="E39" s="1195"/>
      <c r="F39" s="1195">
        <v>0</v>
      </c>
      <c r="G39" s="1195"/>
      <c r="H39" s="1196">
        <f t="shared" si="0"/>
        <v>0</v>
      </c>
      <c r="I39" s="1196"/>
      <c r="J39" s="579">
        <f t="shared" si="1"/>
        <v>0</v>
      </c>
      <c r="L39" s="1207"/>
      <c r="M39" s="1207"/>
      <c r="N39" s="1207"/>
      <c r="O39" s="1207"/>
      <c r="P39" s="570"/>
      <c r="Q39" s="570"/>
      <c r="R39" s="570"/>
      <c r="S39" s="570"/>
      <c r="T39" s="570"/>
    </row>
    <row r="40" spans="1:20" ht="15.75" customHeight="1">
      <c r="A40" s="1190">
        <v>2046</v>
      </c>
      <c r="B40" s="1190"/>
      <c r="C40" s="1190"/>
      <c r="D40" s="1195">
        <v>0</v>
      </c>
      <c r="E40" s="1195"/>
      <c r="F40" s="1195">
        <v>0</v>
      </c>
      <c r="G40" s="1195"/>
      <c r="H40" s="1196">
        <f t="shared" si="0"/>
        <v>0</v>
      </c>
      <c r="I40" s="1196"/>
      <c r="J40" s="579">
        <f t="shared" si="1"/>
        <v>0</v>
      </c>
      <c r="L40" s="1207"/>
      <c r="M40" s="1207"/>
      <c r="N40" s="1207"/>
      <c r="O40" s="1207"/>
      <c r="P40" s="570"/>
      <c r="Q40" s="570"/>
      <c r="R40" s="570"/>
      <c r="S40" s="570"/>
      <c r="T40" s="570"/>
    </row>
    <row r="41" spans="1:20" ht="15.75" customHeight="1">
      <c r="A41" s="1190">
        <v>2047</v>
      </c>
      <c r="B41" s="1190"/>
      <c r="C41" s="1190"/>
      <c r="D41" s="1195">
        <v>0</v>
      </c>
      <c r="E41" s="1195"/>
      <c r="F41" s="1195">
        <v>0</v>
      </c>
      <c r="G41" s="1195"/>
      <c r="H41" s="1196">
        <f t="shared" si="0"/>
        <v>0</v>
      </c>
      <c r="I41" s="1196"/>
      <c r="J41" s="579">
        <f t="shared" si="1"/>
        <v>0</v>
      </c>
      <c r="L41" s="1207"/>
      <c r="M41" s="1207"/>
      <c r="N41" s="1207"/>
      <c r="O41" s="1207"/>
      <c r="P41" s="570"/>
      <c r="Q41" s="570"/>
      <c r="R41" s="570"/>
      <c r="S41" s="570"/>
      <c r="T41" s="570"/>
    </row>
    <row r="42" spans="1:20" ht="15.75" customHeight="1">
      <c r="A42" s="1190">
        <v>2048</v>
      </c>
      <c r="B42" s="1190"/>
      <c r="C42" s="1190"/>
      <c r="D42" s="1195">
        <v>0</v>
      </c>
      <c r="E42" s="1195"/>
      <c r="F42" s="1195">
        <v>0</v>
      </c>
      <c r="G42" s="1195"/>
      <c r="H42" s="1196">
        <f t="shared" si="0"/>
        <v>0</v>
      </c>
      <c r="I42" s="1196"/>
      <c r="J42" s="579">
        <f t="shared" si="1"/>
        <v>0</v>
      </c>
      <c r="L42" s="1207"/>
      <c r="M42" s="1207"/>
      <c r="N42" s="1207"/>
      <c r="O42" s="1207"/>
      <c r="P42" s="570"/>
      <c r="Q42" s="570"/>
      <c r="R42" s="570"/>
      <c r="S42" s="570"/>
      <c r="T42" s="570"/>
    </row>
    <row r="43" spans="1:20" ht="15.75" customHeight="1">
      <c r="A43" s="1190">
        <v>2049</v>
      </c>
      <c r="B43" s="1190"/>
      <c r="C43" s="1190"/>
      <c r="D43" s="1195">
        <v>0</v>
      </c>
      <c r="E43" s="1195"/>
      <c r="F43" s="1195">
        <v>0</v>
      </c>
      <c r="G43" s="1195"/>
      <c r="H43" s="1196">
        <f t="shared" si="0"/>
        <v>0</v>
      </c>
      <c r="I43" s="1196"/>
      <c r="J43" s="579">
        <f t="shared" si="1"/>
        <v>0</v>
      </c>
      <c r="L43" s="1207"/>
      <c r="M43" s="1207"/>
      <c r="N43" s="1207"/>
      <c r="O43" s="1207"/>
      <c r="P43" s="570"/>
      <c r="Q43" s="570"/>
      <c r="R43" s="570"/>
      <c r="S43" s="570"/>
      <c r="T43" s="570"/>
    </row>
    <row r="44" spans="1:20" ht="15.75" customHeight="1">
      <c r="A44" s="1190">
        <v>2050</v>
      </c>
      <c r="B44" s="1190"/>
      <c r="C44" s="1190"/>
      <c r="D44" s="1195">
        <v>0</v>
      </c>
      <c r="E44" s="1195"/>
      <c r="F44" s="1195">
        <v>0</v>
      </c>
      <c r="G44" s="1195"/>
      <c r="H44" s="1196">
        <f t="shared" si="0"/>
        <v>0</v>
      </c>
      <c r="I44" s="1196"/>
      <c r="J44" s="579">
        <f t="shared" si="1"/>
        <v>0</v>
      </c>
      <c r="L44" s="1207"/>
      <c r="M44" s="1207"/>
      <c r="N44" s="1207"/>
      <c r="O44" s="1207"/>
      <c r="P44" s="570"/>
      <c r="Q44" s="570"/>
      <c r="R44" s="570"/>
      <c r="S44" s="570"/>
      <c r="T44" s="570"/>
    </row>
    <row r="45" spans="1:20" ht="15.75" customHeight="1">
      <c r="A45" s="1190">
        <v>2051</v>
      </c>
      <c r="B45" s="1190"/>
      <c r="C45" s="1190"/>
      <c r="D45" s="1195">
        <v>0</v>
      </c>
      <c r="E45" s="1195"/>
      <c r="F45" s="1195">
        <v>0</v>
      </c>
      <c r="G45" s="1195"/>
      <c r="H45" s="1196">
        <f t="shared" si="0"/>
        <v>0</v>
      </c>
      <c r="I45" s="1196"/>
      <c r="J45" s="579">
        <f t="shared" si="1"/>
        <v>0</v>
      </c>
      <c r="L45" s="1207"/>
      <c r="M45" s="1207"/>
      <c r="N45" s="1207"/>
      <c r="O45" s="1207"/>
      <c r="P45" s="570"/>
      <c r="Q45" s="570"/>
      <c r="R45" s="570"/>
      <c r="S45" s="570"/>
      <c r="T45" s="570"/>
    </row>
    <row r="46" spans="1:20" ht="15.75" customHeight="1">
      <c r="A46" s="1190">
        <v>2052</v>
      </c>
      <c r="B46" s="1190"/>
      <c r="C46" s="1190"/>
      <c r="D46" s="1195">
        <v>0</v>
      </c>
      <c r="E46" s="1195"/>
      <c r="F46" s="1195">
        <v>0</v>
      </c>
      <c r="G46" s="1195"/>
      <c r="H46" s="1196">
        <f t="shared" si="0"/>
        <v>0</v>
      </c>
      <c r="I46" s="1196"/>
      <c r="J46" s="579">
        <f t="shared" si="1"/>
        <v>0</v>
      </c>
      <c r="L46" s="1207"/>
      <c r="M46" s="1207"/>
      <c r="N46" s="1207"/>
      <c r="O46" s="1207"/>
      <c r="P46" s="570"/>
      <c r="Q46" s="570"/>
      <c r="R46" s="570"/>
      <c r="S46" s="570"/>
      <c r="T46" s="570"/>
    </row>
    <row r="47" spans="1:20" ht="15.75" customHeight="1">
      <c r="A47" s="1190">
        <v>2053</v>
      </c>
      <c r="B47" s="1190"/>
      <c r="C47" s="1190"/>
      <c r="D47" s="1195">
        <v>0</v>
      </c>
      <c r="E47" s="1195"/>
      <c r="F47" s="1195">
        <v>0</v>
      </c>
      <c r="G47" s="1195"/>
      <c r="H47" s="1196">
        <f t="shared" si="0"/>
        <v>0</v>
      </c>
      <c r="I47" s="1196"/>
      <c r="J47" s="579">
        <f t="shared" si="1"/>
        <v>0</v>
      </c>
      <c r="L47" s="1207"/>
      <c r="M47" s="1207"/>
      <c r="N47" s="1207"/>
      <c r="O47" s="1207"/>
      <c r="P47" s="570"/>
      <c r="Q47" s="570"/>
      <c r="R47" s="570"/>
      <c r="S47" s="570"/>
      <c r="T47" s="570"/>
    </row>
    <row r="48" spans="1:20" ht="15.75" customHeight="1">
      <c r="A48" s="1190">
        <v>2054</v>
      </c>
      <c r="B48" s="1190"/>
      <c r="C48" s="1190"/>
      <c r="D48" s="1195">
        <v>0</v>
      </c>
      <c r="E48" s="1195"/>
      <c r="F48" s="1195">
        <v>0</v>
      </c>
      <c r="G48" s="1195"/>
      <c r="H48" s="1196">
        <f t="shared" si="0"/>
        <v>0</v>
      </c>
      <c r="I48" s="1196"/>
      <c r="J48" s="579">
        <f t="shared" si="1"/>
        <v>0</v>
      </c>
      <c r="L48" s="1207"/>
      <c r="M48" s="1207"/>
      <c r="N48" s="1207"/>
      <c r="O48" s="1207"/>
      <c r="P48" s="570"/>
      <c r="Q48" s="570"/>
      <c r="R48" s="570"/>
      <c r="S48" s="570"/>
      <c r="T48" s="570"/>
    </row>
    <row r="49" spans="1:20" ht="15.75" customHeight="1">
      <c r="A49" s="1190">
        <v>2055</v>
      </c>
      <c r="B49" s="1190"/>
      <c r="C49" s="1190"/>
      <c r="D49" s="1195">
        <v>0</v>
      </c>
      <c r="E49" s="1195"/>
      <c r="F49" s="1195">
        <v>0</v>
      </c>
      <c r="G49" s="1195"/>
      <c r="H49" s="1196">
        <f t="shared" si="0"/>
        <v>0</v>
      </c>
      <c r="I49" s="1196"/>
      <c r="J49" s="579">
        <f t="shared" si="1"/>
        <v>0</v>
      </c>
      <c r="L49" s="1207"/>
      <c r="M49" s="1207"/>
      <c r="N49" s="1207"/>
      <c r="O49" s="1207"/>
      <c r="P49" s="570"/>
      <c r="Q49" s="570"/>
      <c r="R49" s="570"/>
      <c r="S49" s="570"/>
      <c r="T49" s="570"/>
    </row>
    <row r="50" spans="1:20" ht="15.75" customHeight="1">
      <c r="A50" s="1190">
        <v>2056</v>
      </c>
      <c r="B50" s="1190"/>
      <c r="C50" s="1190"/>
      <c r="D50" s="1195">
        <v>0</v>
      </c>
      <c r="E50" s="1195"/>
      <c r="F50" s="1195">
        <v>0</v>
      </c>
      <c r="G50" s="1195"/>
      <c r="H50" s="1196">
        <f t="shared" si="0"/>
        <v>0</v>
      </c>
      <c r="I50" s="1196"/>
      <c r="J50" s="579">
        <f t="shared" si="1"/>
        <v>0</v>
      </c>
      <c r="L50" s="1207"/>
      <c r="M50" s="1207"/>
      <c r="N50" s="1207"/>
      <c r="O50" s="1207"/>
      <c r="P50" s="570"/>
      <c r="Q50" s="570"/>
      <c r="R50" s="570"/>
      <c r="S50" s="570"/>
      <c r="T50" s="570"/>
    </row>
    <row r="51" spans="1:20" ht="15.75" customHeight="1">
      <c r="A51" s="1190">
        <v>2057</v>
      </c>
      <c r="B51" s="1190"/>
      <c r="C51" s="1190"/>
      <c r="D51" s="1195">
        <v>0</v>
      </c>
      <c r="E51" s="1195"/>
      <c r="F51" s="1195">
        <v>0</v>
      </c>
      <c r="G51" s="1195"/>
      <c r="H51" s="1196">
        <f t="shared" si="0"/>
        <v>0</v>
      </c>
      <c r="I51" s="1196"/>
      <c r="J51" s="579">
        <f t="shared" si="1"/>
        <v>0</v>
      </c>
      <c r="L51" s="1207"/>
      <c r="M51" s="1207"/>
      <c r="N51" s="1207"/>
      <c r="O51" s="1207"/>
      <c r="P51" s="570"/>
      <c r="Q51" s="570"/>
      <c r="R51" s="570"/>
      <c r="S51" s="570"/>
      <c r="T51" s="570"/>
    </row>
    <row r="52" spans="1:20" ht="15.75" customHeight="1">
      <c r="A52" s="1190">
        <v>2058</v>
      </c>
      <c r="B52" s="1190"/>
      <c r="C52" s="1190"/>
      <c r="D52" s="1195">
        <v>0</v>
      </c>
      <c r="E52" s="1195"/>
      <c r="F52" s="1195">
        <v>0</v>
      </c>
      <c r="G52" s="1195"/>
      <c r="H52" s="1196">
        <f t="shared" si="0"/>
        <v>0</v>
      </c>
      <c r="I52" s="1196"/>
      <c r="J52" s="579">
        <f t="shared" si="1"/>
        <v>0</v>
      </c>
      <c r="L52" s="1207"/>
      <c r="M52" s="1207"/>
      <c r="N52" s="1207"/>
      <c r="O52" s="1207"/>
      <c r="P52" s="570"/>
      <c r="Q52" s="570"/>
      <c r="R52" s="570"/>
      <c r="S52" s="570"/>
      <c r="T52" s="570"/>
    </row>
    <row r="53" spans="1:20" ht="15.75" customHeight="1">
      <c r="A53" s="1190">
        <v>2059</v>
      </c>
      <c r="B53" s="1190"/>
      <c r="C53" s="1190"/>
      <c r="D53" s="1195">
        <v>0</v>
      </c>
      <c r="E53" s="1195"/>
      <c r="F53" s="1195">
        <v>0</v>
      </c>
      <c r="G53" s="1195"/>
      <c r="H53" s="1196">
        <f t="shared" si="0"/>
        <v>0</v>
      </c>
      <c r="I53" s="1196"/>
      <c r="J53" s="579">
        <f t="shared" si="1"/>
        <v>0</v>
      </c>
      <c r="L53" s="1207"/>
      <c r="M53" s="1207"/>
      <c r="N53" s="1207"/>
      <c r="O53" s="1207"/>
      <c r="P53" s="570"/>
      <c r="Q53" s="570"/>
      <c r="R53" s="570"/>
      <c r="S53" s="570"/>
      <c r="T53" s="570"/>
    </row>
    <row r="54" spans="1:20" ht="15.75" customHeight="1">
      <c r="A54" s="1190">
        <v>2060</v>
      </c>
      <c r="B54" s="1190"/>
      <c r="C54" s="1190"/>
      <c r="D54" s="1195">
        <v>0</v>
      </c>
      <c r="E54" s="1195"/>
      <c r="F54" s="1195">
        <v>0</v>
      </c>
      <c r="G54" s="1195"/>
      <c r="H54" s="1196">
        <f t="shared" si="0"/>
        <v>0</v>
      </c>
      <c r="I54" s="1196"/>
      <c r="J54" s="579">
        <f t="shared" si="1"/>
        <v>0</v>
      </c>
      <c r="L54" s="1207"/>
      <c r="M54" s="1207"/>
      <c r="N54" s="1207"/>
      <c r="O54" s="1207"/>
      <c r="P54" s="570"/>
      <c r="Q54" s="570"/>
      <c r="R54" s="570"/>
      <c r="S54" s="570"/>
      <c r="T54" s="570"/>
    </row>
    <row r="55" spans="1:20" ht="15.75" customHeight="1">
      <c r="A55" s="1190">
        <v>2061</v>
      </c>
      <c r="B55" s="1190"/>
      <c r="C55" s="1190"/>
      <c r="D55" s="1195">
        <v>0</v>
      </c>
      <c r="E55" s="1195"/>
      <c r="F55" s="1195">
        <v>0</v>
      </c>
      <c r="G55" s="1195"/>
      <c r="H55" s="1196">
        <f t="shared" si="0"/>
        <v>0</v>
      </c>
      <c r="I55" s="1196"/>
      <c r="J55" s="579">
        <f t="shared" si="1"/>
        <v>0</v>
      </c>
      <c r="L55" s="1207"/>
      <c r="M55" s="1207"/>
      <c r="N55" s="1207"/>
      <c r="O55" s="1207"/>
      <c r="P55" s="570"/>
      <c r="Q55" s="570"/>
      <c r="R55" s="570"/>
      <c r="S55" s="570"/>
      <c r="T55" s="570"/>
    </row>
    <row r="56" spans="1:20" ht="15.75" customHeight="1">
      <c r="A56" s="1190">
        <v>2062</v>
      </c>
      <c r="B56" s="1190"/>
      <c r="C56" s="1190"/>
      <c r="D56" s="1195">
        <v>0</v>
      </c>
      <c r="E56" s="1195"/>
      <c r="F56" s="1195">
        <v>0</v>
      </c>
      <c r="G56" s="1195"/>
      <c r="H56" s="1196">
        <f t="shared" si="0"/>
        <v>0</v>
      </c>
      <c r="I56" s="1196"/>
      <c r="J56" s="579">
        <f t="shared" si="1"/>
        <v>0</v>
      </c>
      <c r="L56" s="1207"/>
      <c r="M56" s="1207"/>
      <c r="N56" s="1207"/>
      <c r="O56" s="1207"/>
      <c r="P56" s="570"/>
      <c r="Q56" s="570"/>
      <c r="R56" s="570"/>
      <c r="S56" s="570"/>
      <c r="T56" s="570"/>
    </row>
    <row r="57" spans="1:20" ht="15.75" customHeight="1">
      <c r="A57" s="1190">
        <v>2063</v>
      </c>
      <c r="B57" s="1190"/>
      <c r="C57" s="1190"/>
      <c r="D57" s="1195">
        <v>0</v>
      </c>
      <c r="E57" s="1195"/>
      <c r="F57" s="1195">
        <v>0</v>
      </c>
      <c r="G57" s="1195"/>
      <c r="H57" s="1196">
        <f t="shared" si="0"/>
        <v>0</v>
      </c>
      <c r="I57" s="1196"/>
      <c r="J57" s="579">
        <f t="shared" si="1"/>
        <v>0</v>
      </c>
      <c r="L57" s="1207"/>
      <c r="M57" s="1207"/>
      <c r="N57" s="1207"/>
      <c r="O57" s="1207"/>
      <c r="P57" s="570"/>
      <c r="Q57" s="570"/>
      <c r="R57" s="570"/>
      <c r="S57" s="570"/>
      <c r="T57" s="570"/>
    </row>
    <row r="58" spans="1:20" ht="15.75" customHeight="1">
      <c r="A58" s="1190">
        <v>2064</v>
      </c>
      <c r="B58" s="1190"/>
      <c r="C58" s="1190"/>
      <c r="D58" s="1195">
        <v>0</v>
      </c>
      <c r="E58" s="1195"/>
      <c r="F58" s="1195">
        <v>0</v>
      </c>
      <c r="G58" s="1195"/>
      <c r="H58" s="1196">
        <f t="shared" si="0"/>
        <v>0</v>
      </c>
      <c r="I58" s="1196"/>
      <c r="J58" s="579">
        <f t="shared" si="1"/>
        <v>0</v>
      </c>
      <c r="L58" s="1207"/>
      <c r="M58" s="1207"/>
      <c r="N58" s="1207"/>
      <c r="O58" s="1207"/>
      <c r="P58" s="570"/>
      <c r="Q58" s="570"/>
      <c r="R58" s="570"/>
      <c r="S58" s="570"/>
      <c r="T58" s="570"/>
    </row>
    <row r="59" spans="1:20" ht="15.75" customHeight="1">
      <c r="A59" s="1190">
        <v>2065</v>
      </c>
      <c r="B59" s="1190"/>
      <c r="C59" s="1190"/>
      <c r="D59" s="1195">
        <v>0</v>
      </c>
      <c r="E59" s="1195"/>
      <c r="F59" s="1195">
        <v>0</v>
      </c>
      <c r="G59" s="1195"/>
      <c r="H59" s="1196">
        <f t="shared" si="0"/>
        <v>0</v>
      </c>
      <c r="I59" s="1196"/>
      <c r="J59" s="579">
        <f t="shared" si="1"/>
        <v>0</v>
      </c>
      <c r="L59" s="1207"/>
      <c r="M59" s="1207"/>
      <c r="N59" s="1207"/>
      <c r="O59" s="1207"/>
      <c r="P59" s="570"/>
      <c r="Q59" s="570"/>
      <c r="R59" s="570"/>
      <c r="S59" s="570"/>
      <c r="T59" s="570"/>
    </row>
    <row r="60" spans="1:20" ht="15.75" customHeight="1">
      <c r="A60" s="1190">
        <v>2066</v>
      </c>
      <c r="B60" s="1190"/>
      <c r="C60" s="1190"/>
      <c r="D60" s="1195">
        <v>0</v>
      </c>
      <c r="E60" s="1195"/>
      <c r="F60" s="1195">
        <v>0</v>
      </c>
      <c r="G60" s="1195"/>
      <c r="H60" s="1196">
        <f t="shared" si="0"/>
        <v>0</v>
      </c>
      <c r="I60" s="1196"/>
      <c r="J60" s="579">
        <f t="shared" si="1"/>
        <v>0</v>
      </c>
      <c r="L60" s="1207"/>
      <c r="M60" s="1207"/>
      <c r="N60" s="1207"/>
      <c r="O60" s="1207"/>
      <c r="P60" s="570"/>
      <c r="Q60" s="570"/>
      <c r="R60" s="570"/>
      <c r="S60" s="570"/>
      <c r="T60" s="570"/>
    </row>
    <row r="61" spans="1:20" ht="15.75" customHeight="1">
      <c r="A61" s="1190">
        <v>2067</v>
      </c>
      <c r="B61" s="1190"/>
      <c r="C61" s="1190"/>
      <c r="D61" s="1195">
        <v>0</v>
      </c>
      <c r="E61" s="1195"/>
      <c r="F61" s="1195">
        <v>0</v>
      </c>
      <c r="G61" s="1195"/>
      <c r="H61" s="1196">
        <f t="shared" si="0"/>
        <v>0</v>
      </c>
      <c r="I61" s="1196"/>
      <c r="J61" s="579">
        <f t="shared" si="1"/>
        <v>0</v>
      </c>
      <c r="L61" s="1207"/>
      <c r="M61" s="1207"/>
      <c r="N61" s="1207"/>
      <c r="O61" s="1207"/>
      <c r="P61" s="570"/>
      <c r="Q61" s="570"/>
      <c r="R61" s="570"/>
      <c r="S61" s="570"/>
      <c r="T61" s="570"/>
    </row>
    <row r="62" spans="1:20" ht="15.75" customHeight="1">
      <c r="A62" s="1190">
        <v>2068</v>
      </c>
      <c r="B62" s="1190"/>
      <c r="C62" s="1190"/>
      <c r="D62" s="1195">
        <v>0</v>
      </c>
      <c r="E62" s="1195"/>
      <c r="F62" s="1195">
        <v>0</v>
      </c>
      <c r="G62" s="1195"/>
      <c r="H62" s="1196">
        <f t="shared" si="0"/>
        <v>0</v>
      </c>
      <c r="I62" s="1196"/>
      <c r="J62" s="579">
        <f t="shared" si="1"/>
        <v>0</v>
      </c>
      <c r="L62" s="1207"/>
      <c r="M62" s="1207"/>
      <c r="N62" s="1207"/>
      <c r="O62" s="1207"/>
      <c r="P62" s="570"/>
      <c r="Q62" s="570"/>
      <c r="R62" s="570"/>
      <c r="S62" s="570"/>
      <c r="T62" s="570"/>
    </row>
    <row r="63" spans="1:20" ht="15.75" customHeight="1">
      <c r="A63" s="1190">
        <v>2069</v>
      </c>
      <c r="B63" s="1190"/>
      <c r="C63" s="1190"/>
      <c r="D63" s="1195">
        <v>0</v>
      </c>
      <c r="E63" s="1195"/>
      <c r="F63" s="1195">
        <v>0</v>
      </c>
      <c r="G63" s="1195"/>
      <c r="H63" s="1196">
        <f t="shared" si="0"/>
        <v>0</v>
      </c>
      <c r="I63" s="1196"/>
      <c r="J63" s="579">
        <f t="shared" si="1"/>
        <v>0</v>
      </c>
      <c r="L63" s="1207"/>
      <c r="M63" s="1207"/>
      <c r="N63" s="1207"/>
      <c r="O63" s="1207"/>
      <c r="P63" s="570"/>
      <c r="Q63" s="570"/>
      <c r="R63" s="570"/>
      <c r="S63" s="570"/>
      <c r="T63" s="570"/>
    </row>
    <row r="64" spans="1:20" ht="15.75" customHeight="1">
      <c r="A64" s="1190">
        <v>2070</v>
      </c>
      <c r="B64" s="1190"/>
      <c r="C64" s="1190"/>
      <c r="D64" s="1195">
        <v>0</v>
      </c>
      <c r="E64" s="1195"/>
      <c r="F64" s="1195">
        <v>0</v>
      </c>
      <c r="G64" s="1195"/>
      <c r="H64" s="1196">
        <f t="shared" si="0"/>
        <v>0</v>
      </c>
      <c r="I64" s="1196"/>
      <c r="J64" s="579">
        <f t="shared" si="1"/>
        <v>0</v>
      </c>
      <c r="L64" s="1207"/>
      <c r="M64" s="1207"/>
      <c r="N64" s="1207"/>
      <c r="O64" s="1207"/>
      <c r="P64" s="570"/>
      <c r="Q64" s="570"/>
      <c r="R64" s="570"/>
      <c r="S64" s="570"/>
      <c r="T64" s="570"/>
    </row>
    <row r="65" spans="1:20" ht="15.75" customHeight="1">
      <c r="A65" s="1190">
        <v>2071</v>
      </c>
      <c r="B65" s="1190"/>
      <c r="C65" s="1190"/>
      <c r="D65" s="1195">
        <v>0</v>
      </c>
      <c r="E65" s="1195"/>
      <c r="F65" s="1195">
        <v>0</v>
      </c>
      <c r="G65" s="1195"/>
      <c r="H65" s="1196">
        <f t="shared" si="0"/>
        <v>0</v>
      </c>
      <c r="I65" s="1196"/>
      <c r="J65" s="579">
        <f t="shared" si="1"/>
        <v>0</v>
      </c>
      <c r="L65" s="1207"/>
      <c r="M65" s="1207"/>
      <c r="N65" s="1207"/>
      <c r="O65" s="1207"/>
      <c r="P65" s="570"/>
      <c r="Q65" s="570"/>
      <c r="R65" s="570"/>
      <c r="S65" s="570"/>
      <c r="T65" s="570"/>
    </row>
    <row r="66" spans="1:20" ht="15.75" customHeight="1">
      <c r="A66" s="1190">
        <v>2072</v>
      </c>
      <c r="B66" s="1190"/>
      <c r="C66" s="1190"/>
      <c r="D66" s="1195">
        <v>0</v>
      </c>
      <c r="E66" s="1195"/>
      <c r="F66" s="1195">
        <v>0</v>
      </c>
      <c r="G66" s="1195"/>
      <c r="H66" s="1196">
        <f t="shared" si="0"/>
        <v>0</v>
      </c>
      <c r="I66" s="1196"/>
      <c r="J66" s="579">
        <f t="shared" si="1"/>
        <v>0</v>
      </c>
      <c r="L66" s="1207"/>
      <c r="M66" s="1207"/>
      <c r="N66" s="1207"/>
      <c r="O66" s="1207"/>
      <c r="P66" s="570"/>
      <c r="Q66" s="570"/>
      <c r="R66" s="570"/>
      <c r="S66" s="570"/>
      <c r="T66" s="570"/>
    </row>
    <row r="67" spans="1:20" ht="15.75" customHeight="1">
      <c r="A67" s="1190">
        <v>2073</v>
      </c>
      <c r="B67" s="1190"/>
      <c r="C67" s="1190"/>
      <c r="D67" s="1195">
        <v>0</v>
      </c>
      <c r="E67" s="1195"/>
      <c r="F67" s="1195">
        <v>0</v>
      </c>
      <c r="G67" s="1195"/>
      <c r="H67" s="1196">
        <f t="shared" si="0"/>
        <v>0</v>
      </c>
      <c r="I67" s="1196"/>
      <c r="J67" s="579">
        <f t="shared" si="1"/>
        <v>0</v>
      </c>
      <c r="L67" s="1207"/>
      <c r="M67" s="1207"/>
      <c r="N67" s="1207"/>
      <c r="O67" s="1207"/>
      <c r="P67" s="570"/>
      <c r="Q67" s="570"/>
      <c r="R67" s="570"/>
      <c r="S67" s="570"/>
      <c r="T67" s="570"/>
    </row>
    <row r="68" spans="1:20" ht="15.75" customHeight="1">
      <c r="A68" s="1190">
        <v>2074</v>
      </c>
      <c r="B68" s="1190"/>
      <c r="C68" s="1190"/>
      <c r="D68" s="1195">
        <v>0</v>
      </c>
      <c r="E68" s="1195"/>
      <c r="F68" s="1195">
        <v>0</v>
      </c>
      <c r="G68" s="1195"/>
      <c r="H68" s="1196">
        <f t="shared" si="0"/>
        <v>0</v>
      </c>
      <c r="I68" s="1196"/>
      <c r="J68" s="579">
        <f t="shared" si="1"/>
        <v>0</v>
      </c>
      <c r="L68" s="1207"/>
      <c r="M68" s="1207"/>
      <c r="N68" s="1207"/>
      <c r="O68" s="1207"/>
      <c r="P68" s="570"/>
      <c r="Q68" s="570"/>
      <c r="R68" s="570"/>
      <c r="S68" s="570"/>
      <c r="T68" s="570"/>
    </row>
    <row r="69" spans="1:20" ht="15.75" customHeight="1">
      <c r="A69" s="1190">
        <v>2075</v>
      </c>
      <c r="B69" s="1190"/>
      <c r="C69" s="1190"/>
      <c r="D69" s="1195">
        <v>0</v>
      </c>
      <c r="E69" s="1195"/>
      <c r="F69" s="1195">
        <v>0</v>
      </c>
      <c r="G69" s="1195"/>
      <c r="H69" s="1196">
        <f t="shared" si="0"/>
        <v>0</v>
      </c>
      <c r="I69" s="1196"/>
      <c r="J69" s="579">
        <f t="shared" si="1"/>
        <v>0</v>
      </c>
      <c r="L69" s="1207"/>
      <c r="M69" s="1207"/>
      <c r="N69" s="1207"/>
      <c r="O69" s="1207"/>
      <c r="P69" s="570"/>
      <c r="Q69" s="570"/>
      <c r="R69" s="570"/>
      <c r="S69" s="570"/>
      <c r="T69" s="570"/>
    </row>
    <row r="70" spans="1:20" ht="15.75" customHeight="1">
      <c r="A70" s="1190">
        <v>2076</v>
      </c>
      <c r="B70" s="1190"/>
      <c r="C70" s="1190"/>
      <c r="D70" s="1195">
        <v>0</v>
      </c>
      <c r="E70" s="1195"/>
      <c r="F70" s="1195">
        <v>0</v>
      </c>
      <c r="G70" s="1195"/>
      <c r="H70" s="1196">
        <f t="shared" si="0"/>
        <v>0</v>
      </c>
      <c r="I70" s="1196"/>
      <c r="J70" s="579">
        <f t="shared" si="1"/>
        <v>0</v>
      </c>
      <c r="L70" s="1207"/>
      <c r="M70" s="1207"/>
      <c r="N70" s="1207"/>
      <c r="O70" s="1207"/>
      <c r="P70" s="570"/>
      <c r="Q70" s="570"/>
      <c r="R70" s="570"/>
      <c r="S70" s="570"/>
      <c r="T70" s="570"/>
    </row>
    <row r="71" spans="1:20" ht="15.75" customHeight="1">
      <c r="A71" s="1190">
        <v>2077</v>
      </c>
      <c r="B71" s="1190"/>
      <c r="C71" s="1190"/>
      <c r="D71" s="1195">
        <v>0</v>
      </c>
      <c r="E71" s="1195"/>
      <c r="F71" s="1195">
        <v>0</v>
      </c>
      <c r="G71" s="1195"/>
      <c r="H71" s="1196">
        <f t="shared" si="0"/>
        <v>0</v>
      </c>
      <c r="I71" s="1196"/>
      <c r="J71" s="579">
        <f t="shared" si="1"/>
        <v>0</v>
      </c>
      <c r="L71" s="1207"/>
      <c r="M71" s="1207"/>
      <c r="N71" s="1207"/>
      <c r="O71" s="1207"/>
      <c r="P71" s="570"/>
      <c r="Q71" s="570"/>
      <c r="R71" s="570"/>
      <c r="S71" s="570"/>
      <c r="T71" s="570"/>
    </row>
    <row r="72" spans="1:20" ht="15.75" customHeight="1">
      <c r="A72" s="1190">
        <v>2078</v>
      </c>
      <c r="B72" s="1190"/>
      <c r="C72" s="1190"/>
      <c r="D72" s="1195">
        <v>0</v>
      </c>
      <c r="E72" s="1195"/>
      <c r="F72" s="1195">
        <v>0</v>
      </c>
      <c r="G72" s="1195"/>
      <c r="H72" s="1196">
        <f t="shared" si="0"/>
        <v>0</v>
      </c>
      <c r="I72" s="1196"/>
      <c r="J72" s="579">
        <f t="shared" si="1"/>
        <v>0</v>
      </c>
      <c r="L72" s="1207"/>
      <c r="M72" s="1207"/>
      <c r="N72" s="1207"/>
      <c r="O72" s="1207"/>
      <c r="P72" s="570"/>
      <c r="Q72" s="570"/>
      <c r="R72" s="570"/>
      <c r="S72" s="570"/>
      <c r="T72" s="570"/>
    </row>
    <row r="73" spans="1:20" ht="15.75" customHeight="1">
      <c r="A73" s="1190">
        <v>2079</v>
      </c>
      <c r="B73" s="1190"/>
      <c r="C73" s="1190"/>
      <c r="D73" s="1195">
        <v>0</v>
      </c>
      <c r="E73" s="1195"/>
      <c r="F73" s="1195">
        <v>0</v>
      </c>
      <c r="G73" s="1195"/>
      <c r="H73" s="1196">
        <f t="shared" si="0"/>
        <v>0</v>
      </c>
      <c r="I73" s="1196"/>
      <c r="J73" s="579">
        <f t="shared" si="1"/>
        <v>0</v>
      </c>
      <c r="L73" s="1207"/>
      <c r="M73" s="1207"/>
      <c r="N73" s="1207"/>
      <c r="O73" s="1207"/>
      <c r="P73" s="570"/>
      <c r="Q73" s="570"/>
      <c r="R73" s="570"/>
      <c r="S73" s="570"/>
      <c r="T73" s="570"/>
    </row>
    <row r="74" spans="1:20" ht="15.75" customHeight="1">
      <c r="A74" s="1190">
        <v>2080</v>
      </c>
      <c r="B74" s="1190"/>
      <c r="C74" s="1190"/>
      <c r="D74" s="1195">
        <v>0</v>
      </c>
      <c r="E74" s="1195"/>
      <c r="F74" s="1195">
        <v>0</v>
      </c>
      <c r="G74" s="1195"/>
      <c r="H74" s="1196">
        <f t="shared" si="0"/>
        <v>0</v>
      </c>
      <c r="I74" s="1196"/>
      <c r="J74" s="579">
        <f t="shared" si="1"/>
        <v>0</v>
      </c>
      <c r="L74" s="1207"/>
      <c r="M74" s="1207"/>
      <c r="N74" s="1207"/>
      <c r="O74" s="1207"/>
      <c r="P74" s="570"/>
      <c r="Q74" s="570"/>
      <c r="R74" s="570"/>
      <c r="S74" s="570"/>
      <c r="T74" s="570"/>
    </row>
    <row r="75" spans="1:20" ht="15.75" customHeight="1">
      <c r="A75" s="1190">
        <v>2081</v>
      </c>
      <c r="B75" s="1190"/>
      <c r="C75" s="1190"/>
      <c r="D75" s="1195">
        <v>0</v>
      </c>
      <c r="E75" s="1195"/>
      <c r="F75" s="1195">
        <v>0</v>
      </c>
      <c r="G75" s="1195"/>
      <c r="H75" s="1196">
        <f t="shared" si="0"/>
        <v>0</v>
      </c>
      <c r="I75" s="1196"/>
      <c r="J75" s="579">
        <f t="shared" si="1"/>
        <v>0</v>
      </c>
      <c r="L75" s="1207"/>
      <c r="M75" s="1207"/>
      <c r="N75" s="1207"/>
      <c r="O75" s="1207"/>
      <c r="P75" s="570"/>
      <c r="Q75" s="570"/>
      <c r="R75" s="570"/>
      <c r="S75" s="570"/>
      <c r="T75" s="570"/>
    </row>
    <row r="76" spans="1:20" ht="15.75" customHeight="1">
      <c r="A76" s="1190">
        <v>2082</v>
      </c>
      <c r="B76" s="1190"/>
      <c r="C76" s="1190"/>
      <c r="D76" s="1195">
        <v>0</v>
      </c>
      <c r="E76" s="1195"/>
      <c r="F76" s="1195">
        <v>0</v>
      </c>
      <c r="G76" s="1195"/>
      <c r="H76" s="1196">
        <f t="shared" si="0"/>
        <v>0</v>
      </c>
      <c r="I76" s="1196"/>
      <c r="J76" s="579">
        <f t="shared" si="1"/>
        <v>0</v>
      </c>
      <c r="L76" s="1207"/>
      <c r="M76" s="1207"/>
      <c r="N76" s="1207"/>
      <c r="O76" s="1207"/>
      <c r="P76" s="570"/>
      <c r="Q76" s="570"/>
      <c r="R76" s="570"/>
      <c r="S76" s="570"/>
      <c r="T76" s="570"/>
    </row>
    <row r="77" spans="1:20" ht="15.75" customHeight="1">
      <c r="A77" s="1190">
        <v>2083</v>
      </c>
      <c r="B77" s="1190"/>
      <c r="C77" s="1190"/>
      <c r="D77" s="1195">
        <v>0</v>
      </c>
      <c r="E77" s="1195"/>
      <c r="F77" s="1195">
        <v>0</v>
      </c>
      <c r="G77" s="1195"/>
      <c r="H77" s="1196">
        <f t="shared" si="0"/>
        <v>0</v>
      </c>
      <c r="I77" s="1196"/>
      <c r="J77" s="579">
        <f t="shared" si="1"/>
        <v>0</v>
      </c>
      <c r="L77" s="1207"/>
      <c r="M77" s="1207"/>
      <c r="N77" s="1207"/>
      <c r="O77" s="1207"/>
      <c r="P77" s="570"/>
      <c r="Q77" s="570"/>
      <c r="R77" s="570"/>
      <c r="S77" s="570"/>
      <c r="T77" s="570"/>
    </row>
    <row r="78" spans="1:20" ht="15.75" customHeight="1">
      <c r="A78" s="1190">
        <v>2084</v>
      </c>
      <c r="B78" s="1190"/>
      <c r="C78" s="1190"/>
      <c r="D78" s="1195">
        <v>0</v>
      </c>
      <c r="E78" s="1195"/>
      <c r="F78" s="1195">
        <v>0</v>
      </c>
      <c r="G78" s="1195"/>
      <c r="H78" s="1196">
        <f t="shared" si="0"/>
        <v>0</v>
      </c>
      <c r="I78" s="1196"/>
      <c r="J78" s="579">
        <f t="shared" si="1"/>
        <v>0</v>
      </c>
      <c r="L78" s="1207"/>
      <c r="M78" s="1207"/>
      <c r="N78" s="1207"/>
      <c r="O78" s="1207"/>
      <c r="P78" s="570"/>
      <c r="Q78" s="570"/>
      <c r="R78" s="570"/>
      <c r="S78" s="570"/>
      <c r="T78" s="570"/>
    </row>
    <row r="79" spans="1:20" ht="15.75" customHeight="1">
      <c r="A79" s="1190">
        <v>2085</v>
      </c>
      <c r="B79" s="1190"/>
      <c r="C79" s="1190"/>
      <c r="D79" s="1195">
        <v>0</v>
      </c>
      <c r="E79" s="1195"/>
      <c r="F79" s="1195">
        <v>0</v>
      </c>
      <c r="G79" s="1195"/>
      <c r="H79" s="1196">
        <f t="shared" si="0"/>
        <v>0</v>
      </c>
      <c r="I79" s="1196"/>
      <c r="J79" s="579">
        <f t="shared" si="1"/>
        <v>0</v>
      </c>
      <c r="L79" s="1207"/>
      <c r="M79" s="1207"/>
      <c r="N79" s="1207"/>
      <c r="O79" s="1207"/>
      <c r="P79" s="570"/>
      <c r="Q79" s="570"/>
      <c r="R79" s="570"/>
      <c r="S79" s="570"/>
      <c r="T79" s="570"/>
    </row>
    <row r="80" spans="1:20" ht="15.75" customHeight="1">
      <c r="A80" s="1190">
        <v>2086</v>
      </c>
      <c r="B80" s="1190"/>
      <c r="C80" s="1190"/>
      <c r="D80" s="1195">
        <v>0</v>
      </c>
      <c r="E80" s="1195"/>
      <c r="F80" s="1195">
        <v>0</v>
      </c>
      <c r="G80" s="1195"/>
      <c r="H80" s="1196">
        <f t="shared" si="0"/>
        <v>0</v>
      </c>
      <c r="I80" s="1196"/>
      <c r="J80" s="579">
        <f t="shared" si="1"/>
        <v>0</v>
      </c>
      <c r="L80" s="1207"/>
      <c r="M80" s="1207"/>
      <c r="N80" s="1207"/>
      <c r="O80" s="1207"/>
      <c r="P80" s="570"/>
      <c r="Q80" s="570"/>
      <c r="R80" s="570"/>
      <c r="S80" s="570"/>
      <c r="T80" s="570"/>
    </row>
    <row r="81" spans="1:20" ht="15.75" customHeight="1">
      <c r="A81" s="1190">
        <v>2087</v>
      </c>
      <c r="B81" s="1190"/>
      <c r="C81" s="1190"/>
      <c r="D81" s="1195">
        <v>0</v>
      </c>
      <c r="E81" s="1195"/>
      <c r="F81" s="1195">
        <v>0</v>
      </c>
      <c r="G81" s="1195"/>
      <c r="H81" s="1196">
        <f t="shared" si="0"/>
        <v>0</v>
      </c>
      <c r="I81" s="1196"/>
      <c r="J81" s="579">
        <f t="shared" si="1"/>
        <v>0</v>
      </c>
      <c r="L81" s="1207"/>
      <c r="M81" s="1207"/>
      <c r="N81" s="1207"/>
      <c r="O81" s="1207"/>
      <c r="P81" s="570"/>
      <c r="Q81" s="570"/>
      <c r="R81" s="570"/>
      <c r="S81" s="570"/>
      <c r="T81" s="570"/>
    </row>
    <row r="82" spans="1:20" ht="15.75" customHeight="1">
      <c r="A82" s="1190">
        <v>2088</v>
      </c>
      <c r="B82" s="1190"/>
      <c r="C82" s="1190"/>
      <c r="D82" s="1195">
        <v>0</v>
      </c>
      <c r="E82" s="1195"/>
      <c r="F82" s="1195">
        <v>0</v>
      </c>
      <c r="G82" s="1195"/>
      <c r="H82" s="1196">
        <f t="shared" si="0"/>
        <v>0</v>
      </c>
      <c r="I82" s="1196"/>
      <c r="J82" s="579">
        <f t="shared" si="1"/>
        <v>0</v>
      </c>
      <c r="L82" s="1207"/>
      <c r="M82" s="1207"/>
      <c r="N82" s="1207"/>
      <c r="O82" s="1207"/>
      <c r="P82" s="570"/>
      <c r="Q82" s="570"/>
      <c r="R82" s="570"/>
      <c r="S82" s="570"/>
      <c r="T82" s="570"/>
    </row>
    <row r="83" spans="1:20" ht="15.75" customHeight="1">
      <c r="A83" s="1190">
        <v>2089</v>
      </c>
      <c r="B83" s="1190"/>
      <c r="C83" s="1190"/>
      <c r="D83" s="1195">
        <v>0</v>
      </c>
      <c r="E83" s="1195"/>
      <c r="F83" s="1195">
        <v>0</v>
      </c>
      <c r="G83" s="1195"/>
      <c r="H83" s="1196">
        <f t="shared" si="0"/>
        <v>0</v>
      </c>
      <c r="I83" s="1196"/>
      <c r="J83" s="579">
        <f t="shared" si="1"/>
        <v>0</v>
      </c>
      <c r="L83" s="1207"/>
      <c r="M83" s="1207"/>
      <c r="N83" s="1207"/>
      <c r="O83" s="1207"/>
      <c r="P83" s="570"/>
      <c r="Q83" s="570"/>
      <c r="R83" s="570"/>
      <c r="S83" s="570"/>
      <c r="T83" s="570"/>
    </row>
    <row r="84" spans="1:20" ht="15.75" customHeight="1">
      <c r="A84" s="1190">
        <v>2090</v>
      </c>
      <c r="B84" s="1190"/>
      <c r="C84" s="1190"/>
      <c r="D84" s="1195">
        <v>0</v>
      </c>
      <c r="E84" s="1195"/>
      <c r="F84" s="1195">
        <v>0</v>
      </c>
      <c r="G84" s="1195"/>
      <c r="H84" s="1196">
        <f t="shared" si="0"/>
        <v>0</v>
      </c>
      <c r="I84" s="1196"/>
      <c r="J84" s="579">
        <f t="shared" si="1"/>
        <v>0</v>
      </c>
      <c r="L84" s="1207"/>
      <c r="M84" s="1207"/>
      <c r="N84" s="1207"/>
      <c r="O84" s="1207"/>
      <c r="P84" s="570"/>
      <c r="Q84" s="570"/>
      <c r="R84" s="570"/>
      <c r="S84" s="570"/>
      <c r="T84" s="570"/>
    </row>
    <row r="85" spans="1:20" ht="15.75" customHeight="1">
      <c r="A85" s="1190">
        <v>2091</v>
      </c>
      <c r="B85" s="1190"/>
      <c r="C85" s="1190"/>
      <c r="D85" s="1195">
        <v>0</v>
      </c>
      <c r="E85" s="1195"/>
      <c r="F85" s="1195">
        <v>0</v>
      </c>
      <c r="G85" s="1195"/>
      <c r="H85" s="1196">
        <f t="shared" si="0"/>
        <v>0</v>
      </c>
      <c r="I85" s="1196"/>
      <c r="J85" s="579">
        <f t="shared" si="1"/>
        <v>0</v>
      </c>
      <c r="L85" s="1207"/>
      <c r="M85" s="1207"/>
      <c r="N85" s="1207"/>
      <c r="O85" s="1207"/>
      <c r="P85" s="570"/>
      <c r="Q85" s="570"/>
      <c r="R85" s="570"/>
      <c r="S85" s="570"/>
      <c r="T85" s="570"/>
    </row>
    <row r="86" spans="1:20" ht="15.75" customHeight="1">
      <c r="A86" s="1190">
        <v>2092</v>
      </c>
      <c r="B86" s="1190"/>
      <c r="C86" s="1190"/>
      <c r="D86" s="1195">
        <v>0</v>
      </c>
      <c r="E86" s="1195"/>
      <c r="F86" s="1195">
        <v>0</v>
      </c>
      <c r="G86" s="1195"/>
      <c r="H86" s="1196">
        <f t="shared" si="0"/>
        <v>0</v>
      </c>
      <c r="I86" s="1196"/>
      <c r="J86" s="579">
        <f t="shared" si="1"/>
        <v>0</v>
      </c>
      <c r="L86" s="1207"/>
      <c r="M86" s="1207"/>
      <c r="N86" s="1207"/>
      <c r="O86" s="1207"/>
      <c r="P86" s="570"/>
      <c r="Q86" s="570"/>
      <c r="R86" s="570"/>
      <c r="S86" s="570"/>
      <c r="T86" s="570"/>
    </row>
    <row r="87" spans="1:20" ht="15.75" customHeight="1">
      <c r="A87" s="1190">
        <v>2093</v>
      </c>
      <c r="B87" s="1190"/>
      <c r="C87" s="1190"/>
      <c r="D87" s="1195">
        <v>0</v>
      </c>
      <c r="E87" s="1195"/>
      <c r="F87" s="1195">
        <v>0</v>
      </c>
      <c r="G87" s="1195"/>
      <c r="H87" s="1196">
        <f t="shared" si="0"/>
        <v>0</v>
      </c>
      <c r="I87" s="1196"/>
      <c r="J87" s="579">
        <f t="shared" si="1"/>
        <v>0</v>
      </c>
      <c r="L87" s="1207"/>
      <c r="M87" s="1207"/>
      <c r="N87" s="1207"/>
      <c r="O87" s="1207"/>
      <c r="P87" s="570"/>
      <c r="Q87" s="570"/>
      <c r="R87" s="570"/>
      <c r="S87" s="570"/>
      <c r="T87" s="570"/>
    </row>
    <row r="88" spans="1:20" ht="15.75" customHeight="1">
      <c r="A88" s="1190">
        <v>2091</v>
      </c>
      <c r="B88" s="1190"/>
      <c r="C88" s="1190"/>
      <c r="D88" s="1195">
        <v>0</v>
      </c>
      <c r="E88" s="1195"/>
      <c r="F88" s="1195">
        <v>0</v>
      </c>
      <c r="G88" s="1195"/>
      <c r="H88" s="1196">
        <f t="shared" si="0"/>
        <v>0</v>
      </c>
      <c r="I88" s="1196"/>
      <c r="J88" s="579">
        <f t="shared" si="1"/>
        <v>0</v>
      </c>
      <c r="L88" s="1207"/>
      <c r="M88" s="1207"/>
      <c r="N88" s="1207"/>
      <c r="O88" s="1207"/>
      <c r="P88" s="570"/>
      <c r="Q88" s="570"/>
      <c r="R88" s="570"/>
      <c r="S88" s="570"/>
      <c r="T88" s="570"/>
    </row>
    <row r="89" spans="1:15" ht="11.25" customHeight="1">
      <c r="A89" s="1190">
        <v>2092</v>
      </c>
      <c r="B89" s="1190"/>
      <c r="C89" s="1190"/>
      <c r="D89" s="580">
        <v>0</v>
      </c>
      <c r="E89" s="580"/>
      <c r="F89" s="1191">
        <v>0</v>
      </c>
      <c r="G89" s="1191"/>
      <c r="H89" s="1192">
        <f t="shared" si="0"/>
        <v>0</v>
      </c>
      <c r="I89" s="1192"/>
      <c r="J89" s="579">
        <f t="shared" si="1"/>
        <v>0</v>
      </c>
      <c r="L89" s="1207"/>
      <c r="M89" s="1207"/>
      <c r="N89" s="1207"/>
      <c r="O89" s="1207"/>
    </row>
    <row r="90" spans="1:15" ht="27" customHeight="1">
      <c r="A90" s="1193" t="s">
        <v>1151</v>
      </c>
      <c r="B90" s="1193"/>
      <c r="C90" s="1193"/>
      <c r="D90" s="1193"/>
      <c r="E90" s="1193"/>
      <c r="F90" s="1193"/>
      <c r="G90" s="1193"/>
      <c r="H90" s="1193"/>
      <c r="I90" s="1193"/>
      <c r="J90" s="1193"/>
      <c r="L90" s="570"/>
      <c r="M90" s="570"/>
      <c r="N90" s="570"/>
      <c r="O90" s="570"/>
    </row>
    <row r="91" spans="1:15" ht="22.5" customHeight="1">
      <c r="A91" s="1194" t="s">
        <v>877</v>
      </c>
      <c r="B91" s="1194"/>
      <c r="C91" s="1194"/>
      <c r="D91" s="1194"/>
      <c r="E91" s="1194"/>
      <c r="F91" s="1194"/>
      <c r="G91" s="1194"/>
      <c r="H91" s="1194"/>
      <c r="I91" s="1194"/>
      <c r="J91" s="1194"/>
      <c r="L91" s="570"/>
      <c r="M91" s="570"/>
      <c r="N91" s="570"/>
      <c r="O91" s="570"/>
    </row>
    <row r="92" spans="1:15" ht="24.75" customHeight="1">
      <c r="A92" s="1194" t="s">
        <v>878</v>
      </c>
      <c r="B92" s="1194"/>
      <c r="C92" s="1194"/>
      <c r="D92" s="1194"/>
      <c r="E92" s="1194"/>
      <c r="F92" s="1194"/>
      <c r="G92" s="1194"/>
      <c r="H92" s="1194"/>
      <c r="I92" s="1194"/>
      <c r="J92" s="1194"/>
      <c r="L92" s="570"/>
      <c r="M92" s="570"/>
      <c r="N92" s="570"/>
      <c r="O92" s="570"/>
    </row>
  </sheetData>
  <sheetProtection password="F3F6" sheet="1" objects="1" scenarios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A14" sqref="A14"/>
    </sheetView>
  </sheetViews>
  <sheetFormatPr defaultColWidth="21.8515625" defaultRowHeight="11.25" customHeight="1"/>
  <cols>
    <col min="1" max="1" width="47.57421875" style="582" customWidth="1"/>
    <col min="2" max="2" width="22.421875" style="582" customWidth="1"/>
    <col min="3" max="3" width="14.421875" style="582" customWidth="1"/>
    <col min="4" max="4" width="13.00390625" style="582" customWidth="1"/>
    <col min="5" max="5" width="14.00390625" style="582" customWidth="1"/>
    <col min="6" max="6" width="23.28125" style="582" customWidth="1"/>
    <col min="7" max="7" width="17.421875" style="582" customWidth="1"/>
    <col min="8" max="8" width="18.7109375" style="583" customWidth="1"/>
    <col min="9" max="16384" width="21.8515625" style="582" customWidth="1"/>
  </cols>
  <sheetData>
    <row r="1" ht="15.75" customHeight="1">
      <c r="A1" s="584" t="s">
        <v>879</v>
      </c>
    </row>
    <row r="3" spans="1:7" ht="11.25" customHeight="1">
      <c r="A3" s="1213" t="str">
        <f>'Informações Iniciais'!A1</f>
        <v>MUNICÍPIO DE RIBAMAR FIQUENE - PODER EXECUTIVO</v>
      </c>
      <c r="B3" s="1213"/>
      <c r="C3" s="1213"/>
      <c r="D3" s="1213"/>
      <c r="E3" s="1213"/>
      <c r="F3" s="1213"/>
      <c r="G3" s="585"/>
    </row>
    <row r="4" spans="1:7" ht="11.25" customHeight="1">
      <c r="A4" s="1213" t="s">
        <v>0</v>
      </c>
      <c r="B4" s="1213"/>
      <c r="C4" s="1213"/>
      <c r="D4" s="1213"/>
      <c r="E4" s="1213"/>
      <c r="F4" s="1213"/>
      <c r="G4" s="585"/>
    </row>
    <row r="5" spans="1:7" ht="11.25" customHeight="1">
      <c r="A5" s="1220" t="s">
        <v>880</v>
      </c>
      <c r="B5" s="1220"/>
      <c r="C5" s="1220"/>
      <c r="D5" s="1220"/>
      <c r="E5" s="1220"/>
      <c r="F5" s="1220"/>
      <c r="G5" s="586"/>
    </row>
    <row r="6" spans="1:7" ht="11.25" customHeight="1">
      <c r="A6" s="1213" t="s">
        <v>29</v>
      </c>
      <c r="B6" s="1213"/>
      <c r="C6" s="1213"/>
      <c r="D6" s="1213"/>
      <c r="E6" s="1213"/>
      <c r="F6" s="1213"/>
      <c r="G6" s="585"/>
    </row>
    <row r="7" spans="1:7" ht="11.25" customHeight="1">
      <c r="A7" s="1213" t="str">
        <f>'Informações Iniciais'!A5</f>
        <v>3º Bimestre de 2020</v>
      </c>
      <c r="B7" s="1213"/>
      <c r="C7" s="1213"/>
      <c r="D7" s="1213"/>
      <c r="E7" s="1213"/>
      <c r="F7" s="1213"/>
      <c r="G7" s="585"/>
    </row>
    <row r="9" spans="1:8" ht="11.25" customHeight="1">
      <c r="A9" s="587" t="s">
        <v>881</v>
      </c>
      <c r="F9" s="588"/>
      <c r="G9" s="588"/>
      <c r="H9" s="588" t="s">
        <v>31</v>
      </c>
    </row>
    <row r="10" spans="1:8" ht="11.25" customHeight="1">
      <c r="A10" s="1221" t="s">
        <v>32</v>
      </c>
      <c r="B10" s="589" t="s">
        <v>34</v>
      </c>
      <c r="C10" s="1222" t="s">
        <v>35</v>
      </c>
      <c r="D10" s="1222"/>
      <c r="E10" s="1222"/>
      <c r="F10" s="1222"/>
      <c r="G10" s="1222"/>
      <c r="H10" s="589" t="s">
        <v>36</v>
      </c>
    </row>
    <row r="11" spans="1:8" ht="11.25" customHeight="1">
      <c r="A11" s="1221"/>
      <c r="B11" s="590" t="s">
        <v>40</v>
      </c>
      <c r="C11" s="1223" t="s">
        <v>41</v>
      </c>
      <c r="D11" s="1223"/>
      <c r="E11" s="1223"/>
      <c r="F11" s="1223"/>
      <c r="G11" s="1223"/>
      <c r="H11" s="590" t="s">
        <v>204</v>
      </c>
    </row>
    <row r="12" spans="1:8" ht="11.25" customHeight="1">
      <c r="A12" s="591" t="s">
        <v>882</v>
      </c>
      <c r="B12" s="579">
        <f>SUM(B13:B14)</f>
        <v>0</v>
      </c>
      <c r="C12" s="1200">
        <f>SUM(C13:G14)</f>
        <v>0</v>
      </c>
      <c r="D12" s="1200"/>
      <c r="E12" s="1200"/>
      <c r="F12" s="1200"/>
      <c r="G12" s="1200"/>
      <c r="H12" s="579">
        <f>B12-C12</f>
        <v>0</v>
      </c>
    </row>
    <row r="13" spans="1:8" ht="11.25" customHeight="1">
      <c r="A13" s="592" t="s">
        <v>883</v>
      </c>
      <c r="B13" s="593">
        <v>0</v>
      </c>
      <c r="C13" s="1214">
        <v>0</v>
      </c>
      <c r="D13" s="1214"/>
      <c r="E13" s="1214"/>
      <c r="F13" s="1214"/>
      <c r="G13" s="1214"/>
      <c r="H13" s="579">
        <f>B13-C13</f>
        <v>0</v>
      </c>
    </row>
    <row r="14" spans="1:8" ht="11.25" customHeight="1">
      <c r="A14" s="592" t="s">
        <v>884</v>
      </c>
      <c r="B14" s="594">
        <v>0</v>
      </c>
      <c r="C14" s="1215">
        <v>0</v>
      </c>
      <c r="D14" s="1215"/>
      <c r="E14" s="1215"/>
      <c r="F14" s="1215"/>
      <c r="G14" s="1215"/>
      <c r="H14" s="579">
        <f>B14-C14</f>
        <v>0</v>
      </c>
    </row>
    <row r="15" spans="1:8" ht="11.25" customHeight="1">
      <c r="A15" s="592" t="s">
        <v>885</v>
      </c>
      <c r="B15" s="594">
        <v>0</v>
      </c>
      <c r="C15" s="1215">
        <v>0</v>
      </c>
      <c r="D15" s="1215"/>
      <c r="E15" s="1215"/>
      <c r="F15" s="1215"/>
      <c r="G15" s="1215"/>
      <c r="H15" s="579">
        <f>B15-C15</f>
        <v>0</v>
      </c>
    </row>
    <row r="16" spans="1:8" ht="11.25" customHeight="1">
      <c r="A16" s="592" t="s">
        <v>886</v>
      </c>
      <c r="B16" s="595">
        <v>0</v>
      </c>
      <c r="C16" s="1216">
        <v>0</v>
      </c>
      <c r="D16" s="1216"/>
      <c r="E16" s="1216"/>
      <c r="F16" s="1216"/>
      <c r="G16" s="1216"/>
      <c r="H16" s="579">
        <f>B16-C16</f>
        <v>0</v>
      </c>
    </row>
    <row r="17" spans="1:8" s="583" customFormat="1" ht="11.25" customHeight="1">
      <c r="A17" s="596"/>
      <c r="B17" s="597"/>
      <c r="C17" s="597"/>
      <c r="D17" s="597"/>
      <c r="E17" s="597"/>
      <c r="F17" s="597"/>
      <c r="G17" s="597"/>
      <c r="H17" s="597"/>
    </row>
    <row r="18" spans="1:8" ht="11.25" customHeight="1">
      <c r="A18" s="598"/>
      <c r="B18" s="599" t="s">
        <v>118</v>
      </c>
      <c r="C18" s="600" t="s">
        <v>887</v>
      </c>
      <c r="D18" s="601" t="s">
        <v>887</v>
      </c>
      <c r="E18" s="602" t="s">
        <v>888</v>
      </c>
      <c r="F18" s="603" t="s">
        <v>887</v>
      </c>
      <c r="G18" s="604" t="s">
        <v>889</v>
      </c>
      <c r="H18" s="589" t="s">
        <v>36</v>
      </c>
    </row>
    <row r="19" spans="1:8" ht="11.25" customHeight="1">
      <c r="A19" s="605"/>
      <c r="B19" s="606"/>
      <c r="C19" s="607" t="s">
        <v>890</v>
      </c>
      <c r="D19" s="608" t="s">
        <v>891</v>
      </c>
      <c r="E19" s="609" t="s">
        <v>892</v>
      </c>
      <c r="F19" s="610" t="s">
        <v>893</v>
      </c>
      <c r="G19" s="611" t="s">
        <v>894</v>
      </c>
      <c r="H19" s="612"/>
    </row>
    <row r="20" spans="1:8" ht="11.25" customHeight="1">
      <c r="A20" s="613" t="s">
        <v>123</v>
      </c>
      <c r="B20" s="606"/>
      <c r="C20" s="614"/>
      <c r="D20" s="608"/>
      <c r="E20" s="615"/>
      <c r="F20" s="616" t="s">
        <v>895</v>
      </c>
      <c r="G20" s="606"/>
      <c r="H20" s="608"/>
    </row>
    <row r="21" spans="1:8" ht="11.25" customHeight="1">
      <c r="A21" s="617"/>
      <c r="B21" s="618" t="s">
        <v>124</v>
      </c>
      <c r="C21" s="619" t="s">
        <v>125</v>
      </c>
      <c r="D21" s="620"/>
      <c r="E21" s="619" t="s">
        <v>126</v>
      </c>
      <c r="F21" s="620"/>
      <c r="G21" s="619" t="s">
        <v>649</v>
      </c>
      <c r="H21" s="590" t="s">
        <v>896</v>
      </c>
    </row>
    <row r="22" spans="1:8" ht="11.25" customHeight="1">
      <c r="A22" s="621" t="s">
        <v>897</v>
      </c>
      <c r="B22" s="622">
        <f aca="true" t="shared" si="0" ref="B22:G22">B23+B27</f>
        <v>0</v>
      </c>
      <c r="C22" s="622">
        <f t="shared" si="0"/>
        <v>0</v>
      </c>
      <c r="D22" s="622">
        <f t="shared" si="0"/>
        <v>0</v>
      </c>
      <c r="E22" s="622">
        <f t="shared" si="0"/>
        <v>0</v>
      </c>
      <c r="F22" s="622">
        <f t="shared" si="0"/>
        <v>0</v>
      </c>
      <c r="G22" s="622">
        <f t="shared" si="0"/>
        <v>0</v>
      </c>
      <c r="H22" s="576">
        <f aca="true" t="shared" si="1" ref="H22:H29">B22-E22</f>
        <v>0</v>
      </c>
    </row>
    <row r="23" spans="1:8" ht="11.25" customHeight="1">
      <c r="A23" s="623" t="s">
        <v>491</v>
      </c>
      <c r="B23" s="624">
        <f aca="true" t="shared" si="2" ref="B23:G23">SUM(B24:B26)</f>
        <v>0</v>
      </c>
      <c r="C23" s="624">
        <f t="shared" si="2"/>
        <v>0</v>
      </c>
      <c r="D23" s="624">
        <f t="shared" si="2"/>
        <v>0</v>
      </c>
      <c r="E23" s="624">
        <f t="shared" si="2"/>
        <v>0</v>
      </c>
      <c r="F23" s="624">
        <f t="shared" si="2"/>
        <v>0</v>
      </c>
      <c r="G23" s="624">
        <f t="shared" si="2"/>
        <v>0</v>
      </c>
      <c r="H23" s="578">
        <f t="shared" si="1"/>
        <v>0</v>
      </c>
    </row>
    <row r="24" spans="1:8" ht="11.25" customHeight="1">
      <c r="A24" s="623" t="s">
        <v>853</v>
      </c>
      <c r="B24" s="625">
        <v>0</v>
      </c>
      <c r="C24" s="625">
        <v>0</v>
      </c>
      <c r="D24" s="625">
        <v>0</v>
      </c>
      <c r="E24" s="625">
        <v>0</v>
      </c>
      <c r="F24" s="625">
        <v>0</v>
      </c>
      <c r="G24" s="625">
        <v>0</v>
      </c>
      <c r="H24" s="578">
        <f t="shared" si="1"/>
        <v>0</v>
      </c>
    </row>
    <row r="25" spans="1:8" ht="11.25" customHeight="1">
      <c r="A25" s="623" t="s">
        <v>854</v>
      </c>
      <c r="B25" s="625">
        <v>0</v>
      </c>
      <c r="C25" s="625">
        <v>0</v>
      </c>
      <c r="D25" s="625">
        <v>0</v>
      </c>
      <c r="E25" s="625">
        <v>0</v>
      </c>
      <c r="F25" s="625">
        <v>0</v>
      </c>
      <c r="G25" s="625">
        <v>0</v>
      </c>
      <c r="H25" s="578">
        <f t="shared" si="1"/>
        <v>0</v>
      </c>
    </row>
    <row r="26" spans="1:8" ht="11.25" customHeight="1">
      <c r="A26" s="623" t="s">
        <v>855</v>
      </c>
      <c r="B26" s="625">
        <v>0</v>
      </c>
      <c r="C26" s="625">
        <v>0</v>
      </c>
      <c r="D26" s="625">
        <v>0</v>
      </c>
      <c r="E26" s="625">
        <v>0</v>
      </c>
      <c r="F26" s="625">
        <v>0</v>
      </c>
      <c r="G26" s="625">
        <v>0</v>
      </c>
      <c r="H26" s="578">
        <f t="shared" si="1"/>
        <v>0</v>
      </c>
    </row>
    <row r="27" spans="1:8" ht="11.25" customHeight="1">
      <c r="A27" s="623" t="s">
        <v>898</v>
      </c>
      <c r="B27" s="624">
        <f aca="true" t="shared" si="3" ref="B27:G27">SUM(B28:B29)</f>
        <v>0</v>
      </c>
      <c r="C27" s="624">
        <f t="shared" si="3"/>
        <v>0</v>
      </c>
      <c r="D27" s="624">
        <f t="shared" si="3"/>
        <v>0</v>
      </c>
      <c r="E27" s="624">
        <f t="shared" si="3"/>
        <v>0</v>
      </c>
      <c r="F27" s="624">
        <f t="shared" si="3"/>
        <v>0</v>
      </c>
      <c r="G27" s="624">
        <f t="shared" si="3"/>
        <v>0</v>
      </c>
      <c r="H27" s="578">
        <f t="shared" si="1"/>
        <v>0</v>
      </c>
    </row>
    <row r="28" spans="1:8" ht="11.25" customHeight="1">
      <c r="A28" s="623" t="s">
        <v>899</v>
      </c>
      <c r="B28" s="625">
        <v>0</v>
      </c>
      <c r="C28" s="625">
        <v>0</v>
      </c>
      <c r="D28" s="625">
        <v>0</v>
      </c>
      <c r="E28" s="625">
        <v>0</v>
      </c>
      <c r="F28" s="625">
        <v>0</v>
      </c>
      <c r="G28" s="625">
        <v>0</v>
      </c>
      <c r="H28" s="578">
        <f t="shared" si="1"/>
        <v>0</v>
      </c>
    </row>
    <row r="29" spans="1:8" ht="11.25" customHeight="1">
      <c r="A29" s="623" t="s">
        <v>900</v>
      </c>
      <c r="B29" s="625">
        <v>0</v>
      </c>
      <c r="C29" s="625">
        <v>0</v>
      </c>
      <c r="D29" s="625">
        <v>0</v>
      </c>
      <c r="E29" s="625">
        <v>0</v>
      </c>
      <c r="F29" s="625">
        <v>0</v>
      </c>
      <c r="G29" s="625">
        <v>0</v>
      </c>
      <c r="H29" s="581">
        <f t="shared" si="1"/>
        <v>0</v>
      </c>
    </row>
    <row r="30" spans="1:8" ht="11.25" customHeight="1">
      <c r="A30" s="626"/>
      <c r="B30" s="627"/>
      <c r="C30" s="627"/>
      <c r="D30" s="627"/>
      <c r="E30" s="627"/>
      <c r="F30" s="628"/>
      <c r="G30" s="628"/>
      <c r="H30" s="628"/>
    </row>
    <row r="31" spans="1:8" ht="11.25" customHeight="1">
      <c r="A31" s="1217" t="s">
        <v>901</v>
      </c>
      <c r="B31" s="629">
        <f>C31-1</f>
        <v>2019</v>
      </c>
      <c r="C31" s="1218">
        <v>2020</v>
      </c>
      <c r="D31" s="1218"/>
      <c r="E31" s="1218"/>
      <c r="F31" s="1218"/>
      <c r="G31" s="1218"/>
      <c r="H31" s="601" t="s">
        <v>902</v>
      </c>
    </row>
    <row r="32" spans="1:8" ht="11.25" customHeight="1">
      <c r="A32" s="1217"/>
      <c r="B32" s="620" t="s">
        <v>650</v>
      </c>
      <c r="C32" s="618"/>
      <c r="D32" s="1219" t="s">
        <v>903</v>
      </c>
      <c r="E32" s="1219"/>
      <c r="F32" s="1219"/>
      <c r="G32" s="630"/>
      <c r="H32" s="620" t="s">
        <v>904</v>
      </c>
    </row>
    <row r="33" spans="1:8" ht="11.25" customHeight="1">
      <c r="A33" s="631" t="s">
        <v>905</v>
      </c>
      <c r="B33" s="625">
        <v>0</v>
      </c>
      <c r="C33" s="1192">
        <f>C12-E22-G22</f>
        <v>0</v>
      </c>
      <c r="D33" s="1192"/>
      <c r="E33" s="1192"/>
      <c r="F33" s="1192"/>
      <c r="G33" s="1192"/>
      <c r="H33" s="632">
        <f>B33+C33</f>
        <v>0</v>
      </c>
    </row>
    <row r="34" spans="1:13" ht="16.5" customHeight="1">
      <c r="A34" s="1210" t="s">
        <v>1151</v>
      </c>
      <c r="B34" s="1210"/>
      <c r="C34" s="1210"/>
      <c r="D34" s="1210"/>
      <c r="E34" s="1210"/>
      <c r="F34" s="1210"/>
      <c r="G34" s="1210"/>
      <c r="H34" s="1210"/>
      <c r="I34" s="501"/>
      <c r="J34" s="501"/>
      <c r="K34" s="501"/>
      <c r="L34" s="501"/>
      <c r="M34" s="501"/>
    </row>
    <row r="35" spans="1:8" ht="11.25" customHeight="1">
      <c r="A35" s="1211"/>
      <c r="B35" s="1211"/>
      <c r="C35" s="1211"/>
      <c r="D35" s="1211"/>
      <c r="E35" s="1211"/>
      <c r="F35" s="1211"/>
      <c r="G35" s="1211"/>
      <c r="H35" s="1211"/>
    </row>
    <row r="36" spans="1:8" ht="11.25" customHeight="1">
      <c r="A36" s="1212"/>
      <c r="B36" s="1212"/>
      <c r="C36" s="1212"/>
      <c r="D36" s="1212"/>
      <c r="E36" s="1212"/>
      <c r="F36" s="1212"/>
      <c r="G36" s="1212"/>
      <c r="H36" s="1212"/>
    </row>
    <row r="37" spans="1:8" ht="11.25" customHeight="1">
      <c r="A37" s="1213"/>
      <c r="B37" s="1213"/>
      <c r="C37" s="1213"/>
      <c r="D37" s="1213"/>
      <c r="E37" s="1213"/>
      <c r="F37" s="1213"/>
      <c r="G37" s="1213"/>
      <c r="H37" s="1213"/>
    </row>
    <row r="38" spans="1:8" ht="11.25" customHeight="1">
      <c r="A38" s="1213"/>
      <c r="B38" s="1213"/>
      <c r="C38" s="1213"/>
      <c r="D38" s="1213"/>
      <c r="E38" s="1213"/>
      <c r="F38" s="1213"/>
      <c r="G38" s="1213"/>
      <c r="H38" s="1213"/>
    </row>
    <row r="41" ht="11.25" customHeight="1">
      <c r="D41" s="582" t="s">
        <v>906</v>
      </c>
    </row>
  </sheetData>
  <sheetProtection password="F3F6" sheet="1"/>
  <mergeCells count="22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C15:G15"/>
    <mergeCell ref="C16:G16"/>
    <mergeCell ref="A31:A32"/>
    <mergeCell ref="C31:G31"/>
    <mergeCell ref="D32:F32"/>
    <mergeCell ref="C33:G33"/>
    <mergeCell ref="A34:H34"/>
    <mergeCell ref="A35:H35"/>
    <mergeCell ref="A36:H36"/>
    <mergeCell ref="A37:H37"/>
    <mergeCell ref="A38:H38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90" zoomScaleNormal="90" zoomScalePageLayoutView="0" workbookViewId="0" topLeftCell="A61">
      <selection activeCell="IO6" sqref="IO6"/>
    </sheetView>
  </sheetViews>
  <sheetFormatPr defaultColWidth="8.421875" defaultRowHeight="14.25" customHeight="1"/>
  <cols>
    <col min="1" max="1" width="78.28125" style="4" customWidth="1"/>
    <col min="2" max="2" width="17.421875" style="4" customWidth="1"/>
    <col min="3" max="7" width="15.28125" style="4" customWidth="1"/>
    <col min="8" max="8" width="15.28125" style="633" customWidth="1"/>
    <col min="9" max="16384" width="8.421875" style="634" customWidth="1"/>
  </cols>
  <sheetData>
    <row r="1" spans="1:7" ht="16.5" customHeight="1">
      <c r="A1" s="635" t="s">
        <v>907</v>
      </c>
      <c r="B1" s="636"/>
      <c r="C1" s="636"/>
      <c r="D1" s="636"/>
      <c r="E1" s="636"/>
      <c r="F1" s="637"/>
      <c r="G1" s="637"/>
    </row>
    <row r="2" spans="1:7" ht="14.25" customHeight="1">
      <c r="A2" s="638"/>
      <c r="B2" s="638"/>
      <c r="C2" s="638"/>
      <c r="D2" s="638"/>
      <c r="E2" s="638"/>
      <c r="F2" s="637"/>
      <c r="G2" s="637"/>
    </row>
    <row r="3" spans="1:7" ht="14.25" customHeight="1">
      <c r="A3" s="1266" t="str">
        <f>'Informações Iniciais'!A1</f>
        <v>MUNICÍPIO DE RIBAMAR FIQUENE - PODER EXECUTIVO</v>
      </c>
      <c r="B3" s="1266"/>
      <c r="C3" s="1266"/>
      <c r="D3" s="1266"/>
      <c r="E3" s="1266"/>
      <c r="F3" s="1266"/>
      <c r="G3" s="1266"/>
    </row>
    <row r="4" spans="1:7" ht="14.25" customHeight="1">
      <c r="A4" s="1266" t="s">
        <v>0</v>
      </c>
      <c r="B4" s="1266"/>
      <c r="C4" s="1266"/>
      <c r="D4" s="1266"/>
      <c r="E4" s="1266"/>
      <c r="F4" s="1266"/>
      <c r="G4" s="1266"/>
    </row>
    <row r="5" spans="1:7" ht="14.25" customHeight="1">
      <c r="A5" s="1267" t="s">
        <v>908</v>
      </c>
      <c r="B5" s="1267"/>
      <c r="C5" s="1267"/>
      <c r="D5" s="1267"/>
      <c r="E5" s="1267"/>
      <c r="F5" s="1267"/>
      <c r="G5" s="1267"/>
    </row>
    <row r="6" spans="1:256" ht="12.75" customHeight="1">
      <c r="A6" s="1266" t="s">
        <v>29</v>
      </c>
      <c r="B6" s="1266"/>
      <c r="C6" s="1266"/>
      <c r="D6" s="1266"/>
      <c r="E6" s="1266"/>
      <c r="F6" s="1266"/>
      <c r="G6" s="1266"/>
      <c r="II6" s="1268" t="s">
        <v>1</v>
      </c>
      <c r="IJ6" s="1268"/>
      <c r="IK6" s="1268"/>
      <c r="IL6" s="1268"/>
      <c r="IM6" s="1268"/>
      <c r="IN6" s="1268"/>
      <c r="IO6" s="634">
        <f>IF($A$7=IP6,1,0)</f>
        <v>0</v>
      </c>
      <c r="IP6" s="897" t="s">
        <v>659</v>
      </c>
      <c r="IQ6" s="897"/>
      <c r="IR6" s="897"/>
      <c r="IS6" s="897"/>
      <c r="IT6" s="897"/>
      <c r="IU6" s="897"/>
      <c r="IV6" s="897"/>
    </row>
    <row r="7" spans="1:256" ht="14.25" customHeight="1">
      <c r="A7" s="1267" t="str">
        <f>+'Informações Iniciais'!A5</f>
        <v>3º Bimestre de 2020</v>
      </c>
      <c r="B7" s="1267"/>
      <c r="C7" s="1267"/>
      <c r="D7" s="1267"/>
      <c r="E7" s="1267"/>
      <c r="F7" s="1267"/>
      <c r="G7" s="1267"/>
      <c r="II7" s="1268"/>
      <c r="IJ7" s="1268"/>
      <c r="IK7" s="1268"/>
      <c r="IL7" s="1268"/>
      <c r="IM7" s="1268"/>
      <c r="IN7" s="1268"/>
      <c r="IT7" s="634">
        <f aca="true" t="shared" si="0" ref="IT7:IT12">IF($A$7=IV7,1,0)</f>
        <v>0</v>
      </c>
      <c r="IV7" s="639" t="s">
        <v>4</v>
      </c>
    </row>
    <row r="8" spans="1:256" ht="16.5" customHeight="1">
      <c r="A8" s="1269" t="str">
        <f>IF(IT13=1,"","O período acima deve ser escolhido clicando na setinha ao lado da célula. A indicação de período diferente pode comprometer os dados da planilha!!!")</f>
        <v>O período acima deve ser escolhido clicando na setinha ao lado da célula. A indicação de período diferente pode comprometer os dados da planilha!!!</v>
      </c>
      <c r="B8" s="1269"/>
      <c r="C8" s="1269"/>
      <c r="D8" s="1269"/>
      <c r="E8" s="1269"/>
      <c r="F8" s="1269"/>
      <c r="G8" s="1269"/>
      <c r="II8" s="1268"/>
      <c r="IJ8" s="1268"/>
      <c r="IK8" s="1268"/>
      <c r="IL8" s="1268"/>
      <c r="IM8" s="1268"/>
      <c r="IN8" s="1268"/>
      <c r="IT8" s="634">
        <f t="shared" si="0"/>
        <v>0</v>
      </c>
      <c r="IV8" s="639" t="s">
        <v>6</v>
      </c>
    </row>
    <row r="9" spans="1:256" ht="14.25" customHeight="1">
      <c r="A9" s="1270" t="s">
        <v>909</v>
      </c>
      <c r="B9" s="1270"/>
      <c r="C9" s="1270"/>
      <c r="D9" s="1270"/>
      <c r="E9" s="1270"/>
      <c r="F9" s="1270"/>
      <c r="G9" s="640" t="s">
        <v>31</v>
      </c>
      <c r="II9" s="1268"/>
      <c r="IJ9" s="1268"/>
      <c r="IK9" s="1268"/>
      <c r="IL9" s="1268"/>
      <c r="IM9" s="1268"/>
      <c r="IN9" s="1268"/>
      <c r="IT9" s="634">
        <f t="shared" si="0"/>
        <v>0</v>
      </c>
      <c r="IV9" s="639" t="s">
        <v>3</v>
      </c>
    </row>
    <row r="10" spans="1:256" ht="12.75" customHeight="1">
      <c r="A10" s="641"/>
      <c r="B10" s="1228" t="s">
        <v>33</v>
      </c>
      <c r="C10" s="1228" t="s">
        <v>34</v>
      </c>
      <c r="D10" s="1229" t="s">
        <v>35</v>
      </c>
      <c r="E10" s="1229"/>
      <c r="F10" s="1229"/>
      <c r="G10" s="1229"/>
      <c r="II10" s="1268"/>
      <c r="IJ10" s="1268"/>
      <c r="IK10" s="1268"/>
      <c r="IL10" s="1268"/>
      <c r="IM10" s="1268"/>
      <c r="IN10" s="1268"/>
      <c r="IT10" s="634">
        <f t="shared" si="0"/>
        <v>0</v>
      </c>
      <c r="IV10" s="639" t="s">
        <v>8</v>
      </c>
    </row>
    <row r="11" spans="1:256" ht="14.25" customHeight="1">
      <c r="A11" s="642" t="s">
        <v>910</v>
      </c>
      <c r="B11" s="1228"/>
      <c r="C11" s="1228"/>
      <c r="D11" s="1261" t="s">
        <v>39</v>
      </c>
      <c r="E11" s="1261"/>
      <c r="F11" s="1262" t="s">
        <v>38</v>
      </c>
      <c r="G11" s="1262"/>
      <c r="II11" s="1268"/>
      <c r="IJ11" s="1268"/>
      <c r="IK11" s="1268"/>
      <c r="IL11" s="1268"/>
      <c r="IM11" s="1268"/>
      <c r="IN11" s="1268"/>
      <c r="IT11" s="634">
        <f t="shared" si="0"/>
        <v>0</v>
      </c>
      <c r="IV11" s="639" t="s">
        <v>10</v>
      </c>
    </row>
    <row r="12" spans="1:256" ht="14.25" customHeight="1">
      <c r="A12" s="644"/>
      <c r="B12" s="1228"/>
      <c r="C12" s="645" t="s">
        <v>40</v>
      </c>
      <c r="D12" s="1263" t="s">
        <v>41</v>
      </c>
      <c r="E12" s="1263"/>
      <c r="F12" s="1264" t="s">
        <v>911</v>
      </c>
      <c r="G12" s="1264"/>
      <c r="II12" s="1268"/>
      <c r="IJ12" s="1268"/>
      <c r="IK12" s="1268"/>
      <c r="IL12" s="1268"/>
      <c r="IM12" s="1268"/>
      <c r="IN12" s="1268"/>
      <c r="IT12" s="634">
        <f t="shared" si="0"/>
        <v>0</v>
      </c>
      <c r="IV12" s="639" t="s">
        <v>12</v>
      </c>
    </row>
    <row r="13" spans="1:254" ht="14.25" customHeight="1">
      <c r="A13" s="646" t="s">
        <v>912</v>
      </c>
      <c r="B13" s="647">
        <f>SUM(B14:B21)</f>
        <v>190000</v>
      </c>
      <c r="C13" s="647">
        <f>SUM(C14:C21)</f>
        <v>190000</v>
      </c>
      <c r="D13" s="1258">
        <f>SUM(D14:D21)</f>
        <v>292149.77</v>
      </c>
      <c r="E13" s="1258"/>
      <c r="F13" s="1254">
        <f aca="true" t="shared" si="1" ref="F13:F31">IF(C13="",0,IF(C13=0,0,D13/C13))</f>
        <v>1.5376303684210528</v>
      </c>
      <c r="G13" s="1254"/>
      <c r="IT13" s="634">
        <f>SUM(IT7:IT12)+IO6</f>
        <v>0</v>
      </c>
    </row>
    <row r="14" spans="1:256" ht="14.25" customHeight="1">
      <c r="A14" s="648" t="s">
        <v>913</v>
      </c>
      <c r="B14" s="649">
        <v>5000</v>
      </c>
      <c r="C14" s="650">
        <v>5000</v>
      </c>
      <c r="D14" s="1257">
        <v>0</v>
      </c>
      <c r="E14" s="1257"/>
      <c r="F14" s="1254">
        <f t="shared" si="1"/>
        <v>0</v>
      </c>
      <c r="G14" s="1254"/>
      <c r="IU14" s="652" t="s">
        <v>670</v>
      </c>
      <c r="IV14" s="634">
        <f>+'Informações Iniciais'!C23</f>
        <v>0</v>
      </c>
    </row>
    <row r="15" spans="1:7" ht="14.25" customHeight="1">
      <c r="A15" s="648" t="s">
        <v>914</v>
      </c>
      <c r="B15" s="649">
        <v>5000</v>
      </c>
      <c r="C15" s="650">
        <v>5000</v>
      </c>
      <c r="D15" s="1257">
        <v>30900</v>
      </c>
      <c r="E15" s="1257"/>
      <c r="F15" s="1254">
        <f t="shared" si="1"/>
        <v>6.18</v>
      </c>
      <c r="G15" s="1254"/>
    </row>
    <row r="16" spans="1:7" ht="14.25" customHeight="1">
      <c r="A16" s="648" t="s">
        <v>915</v>
      </c>
      <c r="B16" s="649">
        <v>80000</v>
      </c>
      <c r="C16" s="650">
        <v>80000</v>
      </c>
      <c r="D16" s="1257">
        <v>47824.62</v>
      </c>
      <c r="E16" s="1257"/>
      <c r="F16" s="1254">
        <f t="shared" si="1"/>
        <v>0.5978077500000001</v>
      </c>
      <c r="G16" s="1254"/>
    </row>
    <row r="17" spans="1:7" ht="14.25" customHeight="1">
      <c r="A17" s="648" t="s">
        <v>916</v>
      </c>
      <c r="B17" s="649">
        <v>100000</v>
      </c>
      <c r="C17" s="650">
        <v>100000</v>
      </c>
      <c r="D17" s="1257">
        <v>213425.15</v>
      </c>
      <c r="E17" s="1257"/>
      <c r="F17" s="1254">
        <f t="shared" si="1"/>
        <v>2.1342515</v>
      </c>
      <c r="G17" s="1254"/>
    </row>
    <row r="18" spans="1:7" ht="14.25" customHeight="1" hidden="1">
      <c r="A18" s="648" t="s">
        <v>917</v>
      </c>
      <c r="B18" s="649">
        <v>0</v>
      </c>
      <c r="C18" s="650">
        <v>0</v>
      </c>
      <c r="D18" s="1257">
        <v>0</v>
      </c>
      <c r="E18" s="1257"/>
      <c r="F18" s="1254">
        <f t="shared" si="1"/>
        <v>0</v>
      </c>
      <c r="G18" s="1254"/>
    </row>
    <row r="19" spans="1:7" ht="14.25" customHeight="1">
      <c r="A19" s="648" t="s">
        <v>918</v>
      </c>
      <c r="B19" s="649">
        <v>0</v>
      </c>
      <c r="C19" s="650">
        <v>0</v>
      </c>
      <c r="D19" s="1257">
        <v>0</v>
      </c>
      <c r="E19" s="1257"/>
      <c r="F19" s="1254">
        <f t="shared" si="1"/>
        <v>0</v>
      </c>
      <c r="G19" s="1254"/>
    </row>
    <row r="20" spans="1:7" ht="14.25" customHeight="1">
      <c r="A20" s="648" t="s">
        <v>919</v>
      </c>
      <c r="B20" s="649">
        <v>0</v>
      </c>
      <c r="C20" s="650">
        <v>0</v>
      </c>
      <c r="D20" s="1257">
        <v>0</v>
      </c>
      <c r="E20" s="1257"/>
      <c r="F20" s="1254">
        <f t="shared" si="1"/>
        <v>0</v>
      </c>
      <c r="G20" s="1254"/>
    </row>
    <row r="21" spans="1:7" ht="14.25" customHeight="1">
      <c r="A21" s="648" t="s">
        <v>920</v>
      </c>
      <c r="B21" s="649">
        <v>0</v>
      </c>
      <c r="C21" s="650">
        <v>0</v>
      </c>
      <c r="D21" s="1257">
        <v>0</v>
      </c>
      <c r="E21" s="1257"/>
      <c r="F21" s="1254">
        <f t="shared" si="1"/>
        <v>0</v>
      </c>
      <c r="G21" s="1254"/>
    </row>
    <row r="22" spans="1:7" ht="14.25" customHeight="1">
      <c r="A22" s="648" t="s">
        <v>921</v>
      </c>
      <c r="B22" s="647">
        <f>SUM(B23:B28)</f>
        <v>10140000</v>
      </c>
      <c r="C22" s="647">
        <f>SUM(C23:C28)</f>
        <v>10140000</v>
      </c>
      <c r="D22" s="1265">
        <f>SUM(D23:D28)</f>
        <v>4730540.47</v>
      </c>
      <c r="E22" s="1265"/>
      <c r="F22" s="1254">
        <f t="shared" si="1"/>
        <v>0.46652272879684414</v>
      </c>
      <c r="G22" s="1254"/>
    </row>
    <row r="23" spans="1:7" ht="14.25" customHeight="1">
      <c r="A23" s="648" t="s">
        <v>922</v>
      </c>
      <c r="B23" s="654">
        <v>8500000</v>
      </c>
      <c r="C23" s="650">
        <v>8500000</v>
      </c>
      <c r="D23" s="1257">
        <v>3756639.03</v>
      </c>
      <c r="E23" s="1257"/>
      <c r="F23" s="1254">
        <f t="shared" si="1"/>
        <v>0.44195753294117646</v>
      </c>
      <c r="G23" s="1254"/>
    </row>
    <row r="24" spans="1:7" ht="14.25" customHeight="1">
      <c r="A24" s="648" t="s">
        <v>923</v>
      </c>
      <c r="B24" s="654">
        <v>10000</v>
      </c>
      <c r="C24" s="650">
        <v>10000</v>
      </c>
      <c r="D24" s="1257">
        <v>2626.27</v>
      </c>
      <c r="E24" s="1257"/>
      <c r="F24" s="1254">
        <f t="shared" si="1"/>
        <v>0.262627</v>
      </c>
      <c r="G24" s="1254"/>
    </row>
    <row r="25" spans="1:7" ht="14.25" customHeight="1">
      <c r="A25" s="648" t="s">
        <v>924</v>
      </c>
      <c r="B25" s="654">
        <v>100000</v>
      </c>
      <c r="C25" s="650">
        <v>100000</v>
      </c>
      <c r="D25" s="1257">
        <v>64313.68</v>
      </c>
      <c r="E25" s="1257"/>
      <c r="F25" s="1254">
        <f t="shared" si="1"/>
        <v>0.6431368</v>
      </c>
      <c r="G25" s="1254"/>
    </row>
    <row r="26" spans="1:7" ht="14.25" customHeight="1">
      <c r="A26" s="648" t="s">
        <v>925</v>
      </c>
      <c r="B26" s="654">
        <v>1500000</v>
      </c>
      <c r="C26" s="650">
        <v>1500000</v>
      </c>
      <c r="D26" s="1257">
        <v>901823.86</v>
      </c>
      <c r="E26" s="1257"/>
      <c r="F26" s="1254">
        <f t="shared" si="1"/>
        <v>0.6012159066666667</v>
      </c>
      <c r="G26" s="1254"/>
    </row>
    <row r="27" spans="1:7" ht="14.25" customHeight="1">
      <c r="A27" s="648" t="s">
        <v>926</v>
      </c>
      <c r="B27" s="654">
        <v>20000</v>
      </c>
      <c r="C27" s="650">
        <v>20000</v>
      </c>
      <c r="D27" s="1257">
        <v>5137.63</v>
      </c>
      <c r="E27" s="1257"/>
      <c r="F27" s="1254">
        <f t="shared" si="1"/>
        <v>0.2568815</v>
      </c>
      <c r="G27" s="1254"/>
    </row>
    <row r="28" spans="1:7" ht="14.25" customHeight="1">
      <c r="A28" s="648" t="s">
        <v>927</v>
      </c>
      <c r="B28" s="647">
        <f>SUM(B29:B30)</f>
        <v>10000</v>
      </c>
      <c r="C28" s="647">
        <f>SUM(C29:C30)</f>
        <v>10000</v>
      </c>
      <c r="D28" s="1265">
        <f>SUM(D29:D30)</f>
        <v>0</v>
      </c>
      <c r="E28" s="1265"/>
      <c r="F28" s="1254">
        <f t="shared" si="1"/>
        <v>0</v>
      </c>
      <c r="G28" s="1254"/>
    </row>
    <row r="29" spans="1:7" ht="14.25" customHeight="1">
      <c r="A29" s="648" t="s">
        <v>928</v>
      </c>
      <c r="B29" s="654">
        <v>10000</v>
      </c>
      <c r="C29" s="650">
        <v>10000</v>
      </c>
      <c r="D29" s="1257">
        <v>0</v>
      </c>
      <c r="E29" s="1257"/>
      <c r="F29" s="1254">
        <f t="shared" si="1"/>
        <v>0</v>
      </c>
      <c r="G29" s="1254"/>
    </row>
    <row r="30" spans="1:7" ht="14.25" customHeight="1">
      <c r="A30" s="648" t="s">
        <v>929</v>
      </c>
      <c r="B30" s="655">
        <v>0</v>
      </c>
      <c r="C30" s="656">
        <v>0</v>
      </c>
      <c r="D30" s="1253">
        <v>0</v>
      </c>
      <c r="E30" s="1253"/>
      <c r="F30" s="1254">
        <f t="shared" si="1"/>
        <v>0</v>
      </c>
      <c r="G30" s="1254"/>
    </row>
    <row r="31" spans="1:7" ht="14.25" customHeight="1">
      <c r="A31" s="658" t="s">
        <v>930</v>
      </c>
      <c r="B31" s="659">
        <f>B13+B22</f>
        <v>10330000</v>
      </c>
      <c r="C31" s="659">
        <f>C13+C22</f>
        <v>10330000</v>
      </c>
      <c r="D31" s="1259">
        <f>D13+D22</f>
        <v>5022690.24</v>
      </c>
      <c r="E31" s="1259"/>
      <c r="F31" s="1256">
        <f t="shared" si="1"/>
        <v>0.48622364375605037</v>
      </c>
      <c r="G31" s="1256"/>
    </row>
    <row r="32" spans="1:7" ht="14.25" customHeight="1">
      <c r="A32" s="660"/>
      <c r="B32" s="661"/>
      <c r="C32" s="660"/>
      <c r="D32" s="660"/>
      <c r="E32" s="660"/>
      <c r="F32" s="660"/>
      <c r="G32" s="660"/>
    </row>
    <row r="33" spans="1:7" ht="12.75" customHeight="1">
      <c r="A33" s="1260" t="s">
        <v>931</v>
      </c>
      <c r="B33" s="1228" t="s">
        <v>33</v>
      </c>
      <c r="C33" s="1228" t="s">
        <v>34</v>
      </c>
      <c r="D33" s="1229" t="s">
        <v>35</v>
      </c>
      <c r="E33" s="1229"/>
      <c r="F33" s="1229"/>
      <c r="G33" s="1229"/>
    </row>
    <row r="34" spans="1:7" ht="14.25" customHeight="1">
      <c r="A34" s="1260"/>
      <c r="B34" s="1228"/>
      <c r="C34" s="1228"/>
      <c r="D34" s="1261" t="s">
        <v>39</v>
      </c>
      <c r="E34" s="1261"/>
      <c r="F34" s="1262" t="s">
        <v>38</v>
      </c>
      <c r="G34" s="1262"/>
    </row>
    <row r="35" spans="1:7" ht="14.25" customHeight="1">
      <c r="A35" s="1260"/>
      <c r="B35" s="1228"/>
      <c r="C35" s="645" t="s">
        <v>43</v>
      </c>
      <c r="D35" s="1263" t="s">
        <v>124</v>
      </c>
      <c r="E35" s="1263"/>
      <c r="F35" s="1264" t="s">
        <v>932</v>
      </c>
      <c r="G35" s="1264"/>
    </row>
    <row r="36" spans="1:7" ht="14.25" customHeight="1">
      <c r="A36" s="662" t="s">
        <v>933</v>
      </c>
      <c r="B36" s="663">
        <f>SUM(B37:B40)</f>
        <v>3466000</v>
      </c>
      <c r="C36" s="663">
        <f>SUM(C37:C40)</f>
        <v>3466000</v>
      </c>
      <c r="D36" s="1258">
        <f>SUM(D37:D40)</f>
        <v>555119.64</v>
      </c>
      <c r="E36" s="1258"/>
      <c r="F36" s="1254">
        <f aca="true" t="shared" si="2" ref="F36:F44">IF(C36="",0,IF(C36=0,0,D36/C36))</f>
        <v>0.16016146566647432</v>
      </c>
      <c r="G36" s="1254"/>
    </row>
    <row r="37" spans="1:7" ht="14.25" customHeight="1">
      <c r="A37" s="662" t="s">
        <v>934</v>
      </c>
      <c r="B37" s="664">
        <v>1706000</v>
      </c>
      <c r="C37" s="650">
        <v>1706000</v>
      </c>
      <c r="D37" s="1257">
        <v>546035.22</v>
      </c>
      <c r="E37" s="1257"/>
      <c r="F37" s="1254">
        <f t="shared" si="2"/>
        <v>0.3200675381008206</v>
      </c>
      <c r="G37" s="1254"/>
    </row>
    <row r="38" spans="1:7" ht="14.25" customHeight="1">
      <c r="A38" s="662" t="s">
        <v>935</v>
      </c>
      <c r="B38" s="664">
        <v>1760000</v>
      </c>
      <c r="C38" s="650">
        <v>1760000</v>
      </c>
      <c r="D38" s="1257">
        <v>9084.42</v>
      </c>
      <c r="E38" s="1257"/>
      <c r="F38" s="1254">
        <f t="shared" si="2"/>
        <v>0.005161602272727273</v>
      </c>
      <c r="G38" s="1254"/>
    </row>
    <row r="39" spans="1:7" ht="14.25" customHeight="1">
      <c r="A39" s="662" t="s">
        <v>936</v>
      </c>
      <c r="B39" s="664">
        <v>0</v>
      </c>
      <c r="C39" s="650">
        <v>0</v>
      </c>
      <c r="D39" s="1257">
        <v>0</v>
      </c>
      <c r="E39" s="1257"/>
      <c r="F39" s="1254">
        <f t="shared" si="2"/>
        <v>0</v>
      </c>
      <c r="G39" s="1254"/>
    </row>
    <row r="40" spans="1:7" ht="14.25" customHeight="1">
      <c r="A40" s="662" t="s">
        <v>937</v>
      </c>
      <c r="B40" s="664">
        <v>0</v>
      </c>
      <c r="C40" s="650">
        <v>0</v>
      </c>
      <c r="D40" s="1257">
        <v>0</v>
      </c>
      <c r="E40" s="1257"/>
      <c r="F40" s="1254">
        <f t="shared" si="2"/>
        <v>0</v>
      </c>
      <c r="G40" s="1254"/>
    </row>
    <row r="41" spans="1:7" ht="14.25" customHeight="1">
      <c r="A41" s="662" t="s">
        <v>938</v>
      </c>
      <c r="B41" s="664">
        <v>0</v>
      </c>
      <c r="C41" s="650">
        <v>0</v>
      </c>
      <c r="D41" s="1257">
        <v>0</v>
      </c>
      <c r="E41" s="1257"/>
      <c r="F41" s="1254">
        <f t="shared" si="2"/>
        <v>0</v>
      </c>
      <c r="G41" s="1254"/>
    </row>
    <row r="42" spans="1:7" ht="14.25" customHeight="1">
      <c r="A42" s="665" t="s">
        <v>939</v>
      </c>
      <c r="B42" s="666">
        <v>0</v>
      </c>
      <c r="C42" s="656">
        <v>0</v>
      </c>
      <c r="D42" s="1253">
        <v>0</v>
      </c>
      <c r="E42" s="1253"/>
      <c r="F42" s="1254">
        <f t="shared" si="2"/>
        <v>0</v>
      </c>
      <c r="G42" s="1254"/>
    </row>
    <row r="43" spans="1:7" ht="14.25" customHeight="1">
      <c r="A43" s="667" t="s">
        <v>940</v>
      </c>
      <c r="B43" s="668">
        <v>0</v>
      </c>
      <c r="C43" s="669">
        <v>0</v>
      </c>
      <c r="D43" s="1253">
        <v>0</v>
      </c>
      <c r="E43" s="1253"/>
      <c r="F43" s="1254">
        <f t="shared" si="2"/>
        <v>0</v>
      </c>
      <c r="G43" s="1254"/>
    </row>
    <row r="44" spans="1:7" ht="14.25" customHeight="1">
      <c r="A44" s="670" t="s">
        <v>941</v>
      </c>
      <c r="B44" s="671">
        <f>B36+B41+B42+B43</f>
        <v>3466000</v>
      </c>
      <c r="C44" s="671">
        <f>C36+C41+C42+C43</f>
        <v>3466000</v>
      </c>
      <c r="D44" s="1255">
        <f>D36+D41+D42+D43</f>
        <v>555119.64</v>
      </c>
      <c r="E44" s="1255"/>
      <c r="F44" s="1256">
        <f t="shared" si="2"/>
        <v>0.16016146566647432</v>
      </c>
      <c r="G44" s="1256"/>
    </row>
    <row r="45" spans="1:8" ht="14.25" customHeight="1">
      <c r="A45" s="661"/>
      <c r="B45" s="661"/>
      <c r="C45" s="661"/>
      <c r="D45" s="661"/>
      <c r="E45" s="661"/>
      <c r="F45" s="672"/>
      <c r="G45" s="672"/>
      <c r="H45" s="673"/>
    </row>
    <row r="46" spans="1:8" ht="15.75" customHeight="1">
      <c r="A46" s="1252" t="s">
        <v>942</v>
      </c>
      <c r="B46" s="1228" t="s">
        <v>117</v>
      </c>
      <c r="C46" s="1228" t="s">
        <v>118</v>
      </c>
      <c r="D46" s="1251" t="s">
        <v>119</v>
      </c>
      <c r="E46" s="1251"/>
      <c r="F46" s="1251" t="s">
        <v>120</v>
      </c>
      <c r="G46" s="1251"/>
      <c r="H46" s="1230" t="s">
        <v>943</v>
      </c>
    </row>
    <row r="47" spans="1:8" ht="15.75" customHeight="1">
      <c r="A47" s="1252"/>
      <c r="B47" s="1228"/>
      <c r="C47" s="1228"/>
      <c r="D47" s="674" t="s">
        <v>39</v>
      </c>
      <c r="E47" s="675" t="s">
        <v>38</v>
      </c>
      <c r="F47" s="674" t="s">
        <v>39</v>
      </c>
      <c r="G47" s="675" t="s">
        <v>38</v>
      </c>
      <c r="H47" s="1230"/>
    </row>
    <row r="48" spans="1:8" ht="15.75" customHeight="1">
      <c r="A48" s="676" t="s">
        <v>944</v>
      </c>
      <c r="B48" s="1228"/>
      <c r="C48" s="677" t="s">
        <v>125</v>
      </c>
      <c r="D48" s="678" t="s">
        <v>126</v>
      </c>
      <c r="E48" s="679" t="s">
        <v>945</v>
      </c>
      <c r="F48" s="678" t="s">
        <v>649</v>
      </c>
      <c r="G48" s="679" t="s">
        <v>946</v>
      </c>
      <c r="H48" s="1230"/>
    </row>
    <row r="49" spans="1:8" ht="14.25" customHeight="1">
      <c r="A49" s="680" t="s">
        <v>947</v>
      </c>
      <c r="B49" s="681">
        <f>SUM(B50:B52)</f>
        <v>4867000</v>
      </c>
      <c r="C49" s="681">
        <f>SUM(C50:C52)</f>
        <v>5135422.6</v>
      </c>
      <c r="D49" s="681">
        <f>SUM(D50:D52)</f>
        <v>2638499.98</v>
      </c>
      <c r="E49" s="488">
        <f aca="true" t="shared" si="3" ref="E49:E57">IF($C49="",0,IF($C49=0,0,D49/$C49))</f>
        <v>0.5137843923497163</v>
      </c>
      <c r="F49" s="682">
        <f>SUM(F50:F52)</f>
        <v>2097724.58</v>
      </c>
      <c r="G49" s="459">
        <f aca="true" t="shared" si="4" ref="G49:G57">IF($C49="",0,IF($C49=0,0,F49/$C49))</f>
        <v>0.40848139352737983</v>
      </c>
      <c r="H49" s="683">
        <f>SUM(H50:H52)</f>
        <v>540775.4</v>
      </c>
    </row>
    <row r="50" spans="1:8" ht="14.25" customHeight="1">
      <c r="A50" s="660" t="s">
        <v>572</v>
      </c>
      <c r="B50" s="654">
        <v>2883000</v>
      </c>
      <c r="C50" s="654">
        <v>2658902.87</v>
      </c>
      <c r="D50" s="654">
        <v>1401434.09</v>
      </c>
      <c r="E50" s="51">
        <f t="shared" si="3"/>
        <v>0.5270723146047076</v>
      </c>
      <c r="F50" s="684">
        <v>1401434.09</v>
      </c>
      <c r="G50" s="459">
        <f t="shared" si="4"/>
        <v>0.5270723146047076</v>
      </c>
      <c r="H50" s="685">
        <v>0</v>
      </c>
    </row>
    <row r="51" spans="1:8" ht="14.25" customHeight="1">
      <c r="A51" s="660" t="s">
        <v>948</v>
      </c>
      <c r="B51" s="654">
        <v>0</v>
      </c>
      <c r="C51" s="654">
        <v>0</v>
      </c>
      <c r="D51" s="654">
        <v>0</v>
      </c>
      <c r="E51" s="51">
        <f t="shared" si="3"/>
        <v>0</v>
      </c>
      <c r="F51" s="686">
        <v>0</v>
      </c>
      <c r="G51" s="459">
        <f t="shared" si="4"/>
        <v>0</v>
      </c>
      <c r="H51" s="685">
        <v>0</v>
      </c>
    </row>
    <row r="52" spans="1:8" ht="14.25" customHeight="1">
      <c r="A52" s="660" t="s">
        <v>574</v>
      </c>
      <c r="B52" s="654">
        <v>1984000</v>
      </c>
      <c r="C52" s="654">
        <v>2476519.73</v>
      </c>
      <c r="D52" s="654">
        <v>1237065.89</v>
      </c>
      <c r="E52" s="51">
        <f t="shared" si="3"/>
        <v>0.4995178818946861</v>
      </c>
      <c r="F52" s="686">
        <v>696290.49</v>
      </c>
      <c r="G52" s="459">
        <f t="shared" si="4"/>
        <v>0.28115685151436287</v>
      </c>
      <c r="H52" s="685">
        <v>540775.4</v>
      </c>
    </row>
    <row r="53" spans="1:8" ht="14.25" customHeight="1">
      <c r="A53" s="660" t="s">
        <v>852</v>
      </c>
      <c r="B53" s="647">
        <f>SUM(B54:B56)</f>
        <v>633000</v>
      </c>
      <c r="C53" s="647">
        <f>SUM(C54:C56)</f>
        <v>364577.4</v>
      </c>
      <c r="D53" s="647">
        <f>SUM(D54:D56)</f>
        <v>101194.7</v>
      </c>
      <c r="E53" s="51">
        <f t="shared" si="3"/>
        <v>0.277567122920949</v>
      </c>
      <c r="F53" s="687">
        <f>SUM(F54:F56)</f>
        <v>24888</v>
      </c>
      <c r="G53" s="459">
        <f t="shared" si="4"/>
        <v>0.06826533954106864</v>
      </c>
      <c r="H53" s="688">
        <f>SUM(H54:H56)</f>
        <v>76306.7</v>
      </c>
    </row>
    <row r="54" spans="1:8" ht="14.25" customHeight="1">
      <c r="A54" s="638" t="s">
        <v>949</v>
      </c>
      <c r="B54" s="654">
        <v>633000</v>
      </c>
      <c r="C54" s="689">
        <v>364577.4</v>
      </c>
      <c r="D54" s="657">
        <v>101194.7</v>
      </c>
      <c r="E54" s="51">
        <f t="shared" si="3"/>
        <v>0.277567122920949</v>
      </c>
      <c r="F54" s="690">
        <v>24888</v>
      </c>
      <c r="G54" s="459">
        <f t="shared" si="4"/>
        <v>0.06826533954106864</v>
      </c>
      <c r="H54" s="691">
        <v>76306.7</v>
      </c>
    </row>
    <row r="55" spans="1:8" ht="14.25" customHeight="1">
      <c r="A55" s="638" t="s">
        <v>578</v>
      </c>
      <c r="B55" s="655">
        <v>0</v>
      </c>
      <c r="C55" s="692">
        <v>0</v>
      </c>
      <c r="D55" s="657">
        <v>0</v>
      </c>
      <c r="E55" s="51">
        <f t="shared" si="3"/>
        <v>0</v>
      </c>
      <c r="F55" s="690">
        <v>0</v>
      </c>
      <c r="G55" s="459">
        <f t="shared" si="4"/>
        <v>0</v>
      </c>
      <c r="H55" s="691">
        <v>0</v>
      </c>
    </row>
    <row r="56" spans="1:8" ht="14.25" customHeight="1">
      <c r="A56" s="638" t="s">
        <v>950</v>
      </c>
      <c r="B56" s="655">
        <v>0</v>
      </c>
      <c r="C56" s="692">
        <v>0</v>
      </c>
      <c r="D56" s="657">
        <v>0</v>
      </c>
      <c r="E56" s="495">
        <f t="shared" si="3"/>
        <v>0</v>
      </c>
      <c r="F56" s="690">
        <v>0</v>
      </c>
      <c r="G56" s="459">
        <f t="shared" si="4"/>
        <v>0</v>
      </c>
      <c r="H56" s="693">
        <v>0</v>
      </c>
    </row>
    <row r="57" spans="1:256" ht="14.25" customHeight="1">
      <c r="A57" s="694" t="s">
        <v>951</v>
      </c>
      <c r="B57" s="695">
        <f>B49+B53</f>
        <v>5500000</v>
      </c>
      <c r="C57" s="695">
        <f>C49+C53</f>
        <v>5500000</v>
      </c>
      <c r="D57" s="695">
        <f>D49+D53</f>
        <v>2739694.68</v>
      </c>
      <c r="E57" s="497">
        <f t="shared" si="3"/>
        <v>0.4981263054545455</v>
      </c>
      <c r="F57" s="695">
        <f>F49+F53</f>
        <v>2122612.58</v>
      </c>
      <c r="G57" s="497">
        <f t="shared" si="4"/>
        <v>0.38592956</v>
      </c>
      <c r="H57" s="696">
        <f>H49+H53</f>
        <v>617082.1</v>
      </c>
      <c r="IR57" s="697"/>
      <c r="IS57" s="697"/>
      <c r="IT57" s="697"/>
      <c r="IU57" s="652" t="s">
        <v>952</v>
      </c>
      <c r="IV57" s="634">
        <f>IF($A$7=$IV$12,IF(D57&lt;&gt;(F57+H57),0,1),1)</f>
        <v>1</v>
      </c>
    </row>
    <row r="58" spans="1:254" ht="16.5" customHeight="1">
      <c r="A58" s="1246">
        <f>IF(IV57=0,"O total das DESPESAS EMPENHADAS deve ser igual ao somatório das DESPESAS LIQUIDADAS e Inscritas em Restos a Pagar não Processados. Verifique os valores acima!!!","")</f>
      </c>
      <c r="B58" s="1246"/>
      <c r="C58" s="1246"/>
      <c r="D58" s="1246"/>
      <c r="E58" s="1246"/>
      <c r="F58" s="1246"/>
      <c r="G58" s="1246"/>
      <c r="H58" s="1246"/>
      <c r="IT58" s="698"/>
    </row>
    <row r="59" spans="1:8" ht="15" customHeight="1">
      <c r="A59" s="1250" t="s">
        <v>953</v>
      </c>
      <c r="B59" s="1228" t="s">
        <v>117</v>
      </c>
      <c r="C59" s="1228" t="s">
        <v>118</v>
      </c>
      <c r="D59" s="1251" t="s">
        <v>119</v>
      </c>
      <c r="E59" s="1251"/>
      <c r="F59" s="1251" t="s">
        <v>120</v>
      </c>
      <c r="G59" s="1251"/>
      <c r="H59" s="1230" t="s">
        <v>943</v>
      </c>
    </row>
    <row r="60" spans="1:8" ht="15" customHeight="1">
      <c r="A60" s="1250"/>
      <c r="B60" s="1228"/>
      <c r="C60" s="1228"/>
      <c r="D60" s="674" t="s">
        <v>39</v>
      </c>
      <c r="E60" s="675" t="s">
        <v>38</v>
      </c>
      <c r="F60" s="674" t="s">
        <v>39</v>
      </c>
      <c r="G60" s="675" t="s">
        <v>38</v>
      </c>
      <c r="H60" s="1230"/>
    </row>
    <row r="61" spans="1:8" ht="15" customHeight="1">
      <c r="A61" s="1250"/>
      <c r="B61" s="1228"/>
      <c r="C61" s="1228"/>
      <c r="D61" s="678" t="s">
        <v>128</v>
      </c>
      <c r="E61" s="699" t="s">
        <v>954</v>
      </c>
      <c r="F61" s="678" t="s">
        <v>650</v>
      </c>
      <c r="G61" s="699" t="s">
        <v>955</v>
      </c>
      <c r="H61" s="1230"/>
    </row>
    <row r="62" spans="1:8" ht="14.25" customHeight="1">
      <c r="A62" s="700" t="s">
        <v>956</v>
      </c>
      <c r="B62" s="701">
        <v>0</v>
      </c>
      <c r="C62" s="702">
        <v>0</v>
      </c>
      <c r="D62" s="692">
        <v>0</v>
      </c>
      <c r="E62" s="488">
        <f aca="true" t="shared" si="5" ref="E62:E72">IF($D$57="",0,IF($D$57=0,0,D62/$D$57))</f>
        <v>0</v>
      </c>
      <c r="F62" s="690">
        <v>0</v>
      </c>
      <c r="G62" s="488">
        <f aca="true" t="shared" si="6" ref="G62:G72">IF($F$57="",0,IF($F$57=0,0,F62/$F$57))</f>
        <v>0</v>
      </c>
      <c r="H62" s="691">
        <v>0</v>
      </c>
    </row>
    <row r="63" spans="1:8" ht="14.25" customHeight="1">
      <c r="A63" s="703" t="s">
        <v>957</v>
      </c>
      <c r="B63" s="704">
        <v>0</v>
      </c>
      <c r="C63" s="705">
        <v>0</v>
      </c>
      <c r="D63" s="692">
        <v>0</v>
      </c>
      <c r="E63" s="51">
        <f t="shared" si="5"/>
        <v>0</v>
      </c>
      <c r="F63" s="706">
        <v>0</v>
      </c>
      <c r="G63" s="51">
        <f t="shared" si="6"/>
        <v>0</v>
      </c>
      <c r="H63" s="691">
        <v>0</v>
      </c>
    </row>
    <row r="64" spans="1:8" ht="14.25" customHeight="1">
      <c r="A64" s="703" t="s">
        <v>958</v>
      </c>
      <c r="B64" s="707">
        <f>SUM(B65:B67)</f>
        <v>0</v>
      </c>
      <c r="C64" s="707">
        <f>SUM(C65:C67)</f>
        <v>0</v>
      </c>
      <c r="D64" s="707">
        <f>SUM(D65:D67)</f>
        <v>0</v>
      </c>
      <c r="E64" s="51">
        <f t="shared" si="5"/>
        <v>0</v>
      </c>
      <c r="F64" s="707">
        <f>SUM(F65:F67)</f>
        <v>0</v>
      </c>
      <c r="G64" s="51">
        <f t="shared" si="6"/>
        <v>0</v>
      </c>
      <c r="H64" s="708">
        <f>SUM(H65:H67)</f>
        <v>0</v>
      </c>
    </row>
    <row r="65" spans="1:8" ht="14.25" customHeight="1">
      <c r="A65" s="709" t="s">
        <v>959</v>
      </c>
      <c r="B65" s="710">
        <v>0</v>
      </c>
      <c r="C65" s="710">
        <v>0</v>
      </c>
      <c r="D65" s="710">
        <v>0</v>
      </c>
      <c r="E65" s="51">
        <f t="shared" si="5"/>
        <v>0</v>
      </c>
      <c r="F65" s="711">
        <v>0</v>
      </c>
      <c r="G65" s="51">
        <f t="shared" si="6"/>
        <v>0</v>
      </c>
      <c r="H65" s="691">
        <v>0</v>
      </c>
    </row>
    <row r="66" spans="1:8" ht="14.25" customHeight="1">
      <c r="A66" s="709" t="s">
        <v>960</v>
      </c>
      <c r="B66" s="712">
        <v>0</v>
      </c>
      <c r="C66" s="712">
        <v>0</v>
      </c>
      <c r="D66" s="713">
        <v>0</v>
      </c>
      <c r="E66" s="51">
        <f t="shared" si="5"/>
        <v>0</v>
      </c>
      <c r="F66" s="711">
        <v>0</v>
      </c>
      <c r="G66" s="51">
        <f t="shared" si="6"/>
        <v>0</v>
      </c>
      <c r="H66" s="691">
        <v>0</v>
      </c>
    </row>
    <row r="67" spans="1:8" ht="14.25" customHeight="1">
      <c r="A67" s="714" t="s">
        <v>961</v>
      </c>
      <c r="B67" s="712">
        <v>0</v>
      </c>
      <c r="C67" s="712">
        <v>0</v>
      </c>
      <c r="D67" s="712">
        <v>0</v>
      </c>
      <c r="E67" s="51">
        <f t="shared" si="5"/>
        <v>0</v>
      </c>
      <c r="F67" s="715">
        <v>0</v>
      </c>
      <c r="G67" s="51">
        <f t="shared" si="6"/>
        <v>0</v>
      </c>
      <c r="H67" s="691">
        <v>0</v>
      </c>
    </row>
    <row r="68" spans="1:8" ht="14.25" customHeight="1">
      <c r="A68" s="716" t="s">
        <v>962</v>
      </c>
      <c r="B68" s="717">
        <v>0</v>
      </c>
      <c r="C68" s="717">
        <v>0</v>
      </c>
      <c r="D68" s="717">
        <v>0</v>
      </c>
      <c r="E68" s="51">
        <f t="shared" si="5"/>
        <v>0</v>
      </c>
      <c r="F68" s="718">
        <v>0</v>
      </c>
      <c r="G68" s="51">
        <f t="shared" si="6"/>
        <v>0</v>
      </c>
      <c r="H68" s="691">
        <v>0</v>
      </c>
    </row>
    <row r="69" spans="1:8" ht="14.25" customHeight="1">
      <c r="A69" s="719" t="s">
        <v>963</v>
      </c>
      <c r="B69" s="720">
        <v>0</v>
      </c>
      <c r="C69" s="720">
        <v>0</v>
      </c>
      <c r="D69" s="717">
        <v>0</v>
      </c>
      <c r="E69" s="51">
        <f t="shared" si="5"/>
        <v>0</v>
      </c>
      <c r="F69" s="721">
        <v>0</v>
      </c>
      <c r="G69" s="51">
        <f t="shared" si="6"/>
        <v>0</v>
      </c>
      <c r="H69" s="691">
        <v>0</v>
      </c>
    </row>
    <row r="70" spans="1:8" ht="14.25" customHeight="1">
      <c r="A70" s="722" t="s">
        <v>964</v>
      </c>
      <c r="B70" s="717">
        <v>0</v>
      </c>
      <c r="C70" s="717">
        <v>0</v>
      </c>
      <c r="D70" s="717">
        <v>0</v>
      </c>
      <c r="E70" s="51">
        <f t="shared" si="5"/>
        <v>0</v>
      </c>
      <c r="F70" s="718">
        <v>0</v>
      </c>
      <c r="G70" s="51">
        <f t="shared" si="6"/>
        <v>0</v>
      </c>
      <c r="H70" s="691">
        <v>0</v>
      </c>
    </row>
    <row r="71" spans="1:8" ht="24" customHeight="1">
      <c r="A71" s="723" t="s">
        <v>965</v>
      </c>
      <c r="B71" s="717">
        <v>0</v>
      </c>
      <c r="C71" s="717">
        <v>0</v>
      </c>
      <c r="D71" s="717">
        <v>0</v>
      </c>
      <c r="E71" s="495">
        <f t="shared" si="5"/>
        <v>0</v>
      </c>
      <c r="F71" s="718">
        <v>0</v>
      </c>
      <c r="G71" s="495">
        <f t="shared" si="6"/>
        <v>0</v>
      </c>
      <c r="H71" s="693">
        <v>0</v>
      </c>
    </row>
    <row r="72" spans="1:256" ht="14.25" customHeight="1">
      <c r="A72" s="724" t="s">
        <v>966</v>
      </c>
      <c r="B72" s="725">
        <f>SUM(B62:B64,B68:B71)</f>
        <v>0</v>
      </c>
      <c r="C72" s="725">
        <f>SUM(C62:C64,C68:C71)</f>
        <v>0</v>
      </c>
      <c r="D72" s="725">
        <f>SUM(D62:D64,D68:D71)</f>
        <v>0</v>
      </c>
      <c r="E72" s="497">
        <f t="shared" si="5"/>
        <v>0</v>
      </c>
      <c r="F72" s="725">
        <f>SUM(F62:F64,F68:F71)</f>
        <v>0</v>
      </c>
      <c r="G72" s="497">
        <f t="shared" si="6"/>
        <v>0</v>
      </c>
      <c r="H72" s="696">
        <f>SUM(H62:H64,H68:H71)</f>
        <v>0</v>
      </c>
      <c r="IR72" s="697"/>
      <c r="IS72" s="697"/>
      <c r="IT72" s="697"/>
      <c r="IU72" s="652" t="s">
        <v>952</v>
      </c>
      <c r="IV72" s="634">
        <f>IF($A$7=$IV$12,IF(D72&lt;&gt;(F72+H72),0,1),1)</f>
        <v>1</v>
      </c>
    </row>
    <row r="73" spans="1:254" ht="16.5" customHeight="1">
      <c r="A73" s="1246">
        <f>IF(IV72=0,"O total das DESPESAS EMPENHADAS deve ser igual ao somatório das DESPESAS LIQUIDADAS e Inscritas em Restos a Pagar não Processados. Verifique os valores acima!!!","")</f>
      </c>
      <c r="B73" s="1246"/>
      <c r="C73" s="1246"/>
      <c r="D73" s="1246"/>
      <c r="E73" s="1246"/>
      <c r="F73" s="1246"/>
      <c r="G73" s="1246"/>
      <c r="H73" s="1246"/>
      <c r="IT73" s="698"/>
    </row>
    <row r="74" spans="1:8" ht="14.25" customHeight="1">
      <c r="A74" s="726" t="s">
        <v>967</v>
      </c>
      <c r="B74" s="727">
        <f>B57-B72</f>
        <v>5500000</v>
      </c>
      <c r="C74" s="727">
        <f>C57-C72</f>
        <v>5500000</v>
      </c>
      <c r="D74" s="727">
        <f>D57-D72</f>
        <v>2739694.68</v>
      </c>
      <c r="E74" s="728"/>
      <c r="F74" s="727">
        <f>F57-F72</f>
        <v>2122612.58</v>
      </c>
      <c r="G74" s="728"/>
      <c r="H74" s="729">
        <f>H57-H72</f>
        <v>617082.1</v>
      </c>
    </row>
    <row r="75" spans="1:8" ht="15" customHeight="1">
      <c r="A75" s="730"/>
      <c r="B75" s="680"/>
      <c r="C75" s="731"/>
      <c r="D75" s="660"/>
      <c r="E75" s="660"/>
      <c r="F75" s="637"/>
      <c r="G75" s="732"/>
      <c r="H75" s="733"/>
    </row>
    <row r="76" spans="1:256" ht="24.75" customHeight="1">
      <c r="A76" s="1247" t="s">
        <v>968</v>
      </c>
      <c r="B76" s="1247"/>
      <c r="C76" s="1247"/>
      <c r="D76" s="1247"/>
      <c r="E76" s="1248" t="str">
        <f>IF(IV76=3,IF(D$31="",0,IF(D$31=0,0,IF(A$7=IV$12,D$74/D$31,F$74/D$31))),IF(IV76=4,"Verifique o preenchimento da planilha INFORMAÇÕES INICIAIS","HÁ ERROS ACIMA. VERIFIQUE!!!"))</f>
        <v>HÁ ERROS ACIMA. VERIFIQUE!!!</v>
      </c>
      <c r="F76" s="1248"/>
      <c r="G76" s="1248"/>
      <c r="H76" s="1248"/>
      <c r="IU76" s="652" t="s">
        <v>969</v>
      </c>
      <c r="IV76" s="634">
        <f>+IV72+IV57+IT13+IV14</f>
        <v>2</v>
      </c>
    </row>
    <row r="77" spans="1:8" ht="13.5" customHeight="1">
      <c r="A77" s="726"/>
      <c r="B77" s="726"/>
      <c r="C77" s="726"/>
      <c r="D77" s="726"/>
      <c r="E77" s="662"/>
      <c r="F77" s="672"/>
      <c r="G77" s="734"/>
      <c r="H77" s="735"/>
    </row>
    <row r="78" spans="1:8" ht="17.25" customHeight="1">
      <c r="A78" s="1247" t="s">
        <v>970</v>
      </c>
      <c r="B78" s="1247"/>
      <c r="C78" s="1247"/>
      <c r="D78" s="1247"/>
      <c r="E78" s="1249">
        <f>IF(D$31="",0,IF(D$31=0,0,IF(A$7=IV$12,D$74-D$31*0.15,F$74-D$31*0.15)))</f>
        <v>1369209.0440000002</v>
      </c>
      <c r="F78" s="1249"/>
      <c r="G78" s="1249"/>
      <c r="H78" s="1249"/>
    </row>
    <row r="79" spans="1:8" ht="17.25" customHeight="1">
      <c r="A79" s="736"/>
      <c r="B79" s="736"/>
      <c r="C79" s="736"/>
      <c r="D79" s="736"/>
      <c r="E79" s="662"/>
      <c r="F79" s="672"/>
      <c r="G79" s="732"/>
      <c r="H79" s="733"/>
    </row>
    <row r="80" spans="1:8" ht="11.25" customHeight="1">
      <c r="A80" s="1228" t="s">
        <v>971</v>
      </c>
      <c r="B80" s="1228"/>
      <c r="C80" s="1236" t="s">
        <v>972</v>
      </c>
      <c r="D80" s="1228" t="s">
        <v>973</v>
      </c>
      <c r="E80" s="1228" t="s">
        <v>974</v>
      </c>
      <c r="F80" s="1228" t="s">
        <v>975</v>
      </c>
      <c r="G80" s="1236" t="s">
        <v>976</v>
      </c>
      <c r="H80" s="1236"/>
    </row>
    <row r="81" spans="1:8" ht="23.25" customHeight="1">
      <c r="A81" s="1228"/>
      <c r="B81" s="1228"/>
      <c r="C81" s="1236"/>
      <c r="D81" s="1228"/>
      <c r="E81" s="1228"/>
      <c r="F81" s="1228"/>
      <c r="G81" s="1236"/>
      <c r="H81" s="1236"/>
    </row>
    <row r="82" spans="1:8" ht="15" customHeight="1">
      <c r="A82" s="1243" t="s">
        <v>977</v>
      </c>
      <c r="B82" s="1243"/>
      <c r="C82" s="737">
        <v>0</v>
      </c>
      <c r="D82" s="738">
        <v>0</v>
      </c>
      <c r="E82" s="739">
        <v>0</v>
      </c>
      <c r="F82" s="740">
        <v>0</v>
      </c>
      <c r="G82" s="1244">
        <v>0</v>
      </c>
      <c r="H82" s="1244"/>
    </row>
    <row r="83" spans="1:8" ht="12" customHeight="1">
      <c r="A83" s="1245" t="s">
        <v>978</v>
      </c>
      <c r="B83" s="1245"/>
      <c r="C83" s="742">
        <v>0</v>
      </c>
      <c r="D83" s="743">
        <v>0</v>
      </c>
      <c r="E83" s="655">
        <v>0</v>
      </c>
      <c r="F83" s="744">
        <v>0</v>
      </c>
      <c r="G83" s="1239">
        <v>0</v>
      </c>
      <c r="H83" s="1239"/>
    </row>
    <row r="84" spans="1:8" ht="12" customHeight="1">
      <c r="A84" s="745" t="s">
        <v>1154</v>
      </c>
      <c r="B84" s="741"/>
      <c r="C84" s="742">
        <v>0</v>
      </c>
      <c r="D84" s="743">
        <v>0</v>
      </c>
      <c r="E84" s="655">
        <v>0</v>
      </c>
      <c r="F84" s="744">
        <v>0</v>
      </c>
      <c r="G84" s="1239">
        <v>0</v>
      </c>
      <c r="H84" s="1239"/>
    </row>
    <row r="85" spans="1:8" ht="11.25" customHeight="1">
      <c r="A85" s="746" t="s">
        <v>979</v>
      </c>
      <c r="B85" s="741"/>
      <c r="C85" s="742">
        <v>0</v>
      </c>
      <c r="D85" s="743">
        <v>0</v>
      </c>
      <c r="E85" s="657">
        <v>0</v>
      </c>
      <c r="F85" s="690">
        <v>0</v>
      </c>
      <c r="G85" s="1239">
        <v>0</v>
      </c>
      <c r="H85" s="1239"/>
    </row>
    <row r="86" spans="1:8" ht="12.75" customHeight="1">
      <c r="A86" s="1240" t="s">
        <v>980</v>
      </c>
      <c r="B86" s="1240"/>
      <c r="C86" s="747">
        <f>SUM(C82:C85)</f>
        <v>0</v>
      </c>
      <c r="D86" s="747">
        <f>SUM(D82:D85)</f>
        <v>0</v>
      </c>
      <c r="E86" s="747">
        <f>SUM(E82:E85)</f>
        <v>0</v>
      </c>
      <c r="F86" s="747">
        <f>SUM(F82:F85)</f>
        <v>0</v>
      </c>
      <c r="G86" s="1241">
        <f>SUM(G82:G85)</f>
        <v>0</v>
      </c>
      <c r="H86" s="1241"/>
    </row>
    <row r="87" spans="1:8" ht="12.75" customHeight="1">
      <c r="A87" s="748"/>
      <c r="B87" s="660"/>
      <c r="C87" s="749"/>
      <c r="D87" s="750"/>
      <c r="E87" s="750"/>
      <c r="F87" s="732"/>
      <c r="G87" s="732"/>
      <c r="H87" s="733"/>
    </row>
    <row r="88" spans="1:8" ht="12.75" customHeight="1">
      <c r="A88" s="1235" t="s">
        <v>981</v>
      </c>
      <c r="B88" s="1235"/>
      <c r="C88" s="1238" t="s">
        <v>982</v>
      </c>
      <c r="D88" s="1238"/>
      <c r="E88" s="1238"/>
      <c r="F88" s="1238"/>
      <c r="G88" s="1238"/>
      <c r="H88" s="1238"/>
    </row>
    <row r="89" spans="1:8" ht="15.75" customHeight="1">
      <c r="A89" s="1235"/>
      <c r="B89" s="1235"/>
      <c r="C89" s="1238"/>
      <c r="D89" s="1238"/>
      <c r="E89" s="1238"/>
      <c r="F89" s="1238"/>
      <c r="G89" s="1238"/>
      <c r="H89" s="1238"/>
    </row>
    <row r="90" spans="1:8" ht="14.25" customHeight="1">
      <c r="A90" s="1235"/>
      <c r="B90" s="1235"/>
      <c r="C90" s="1228" t="s">
        <v>983</v>
      </c>
      <c r="D90" s="1228"/>
      <c r="E90" s="1242" t="s">
        <v>984</v>
      </c>
      <c r="F90" s="1242"/>
      <c r="G90" s="1236" t="s">
        <v>985</v>
      </c>
      <c r="H90" s="1236"/>
    </row>
    <row r="91" spans="1:8" ht="13.5" customHeight="1">
      <c r="A91" s="1235"/>
      <c r="B91" s="1235"/>
      <c r="C91" s="1228"/>
      <c r="D91" s="1228"/>
      <c r="E91" s="1242"/>
      <c r="F91" s="1242"/>
      <c r="G91" s="1236"/>
      <c r="H91" s="1236"/>
    </row>
    <row r="92" spans="1:8" ht="12" customHeight="1">
      <c r="A92" s="1235"/>
      <c r="B92" s="1235"/>
      <c r="C92" s="1228"/>
      <c r="D92" s="1228"/>
      <c r="E92" s="1238" t="s">
        <v>130</v>
      </c>
      <c r="F92" s="1238"/>
      <c r="G92" s="1236"/>
      <c r="H92" s="1236"/>
    </row>
    <row r="93" spans="1:8" ht="13.5" customHeight="1">
      <c r="A93" s="751" t="s">
        <v>986</v>
      </c>
      <c r="B93" s="752"/>
      <c r="C93" s="1233">
        <v>0</v>
      </c>
      <c r="D93" s="1233"/>
      <c r="E93" s="1233">
        <v>0</v>
      </c>
      <c r="F93" s="1233"/>
      <c r="G93" s="1233">
        <v>0</v>
      </c>
      <c r="H93" s="1233"/>
    </row>
    <row r="94" spans="1:8" ht="13.5" customHeight="1">
      <c r="A94" s="753" t="s">
        <v>978</v>
      </c>
      <c r="B94" s="754"/>
      <c r="C94" s="1231">
        <v>0</v>
      </c>
      <c r="D94" s="1231"/>
      <c r="E94" s="1231">
        <v>0</v>
      </c>
      <c r="F94" s="1231"/>
      <c r="G94" s="1231">
        <v>0</v>
      </c>
      <c r="H94" s="1231"/>
    </row>
    <row r="95" spans="1:8" ht="13.5" customHeight="1">
      <c r="A95" s="753" t="s">
        <v>1155</v>
      </c>
      <c r="B95" s="754"/>
      <c r="C95" s="1231">
        <v>0</v>
      </c>
      <c r="D95" s="1231"/>
      <c r="E95" s="1231">
        <v>0</v>
      </c>
      <c r="F95" s="1231"/>
      <c r="G95" s="1231">
        <v>0</v>
      </c>
      <c r="H95" s="1231"/>
    </row>
    <row r="96" spans="1:8" ht="27" customHeight="1">
      <c r="A96" s="753" t="s">
        <v>987</v>
      </c>
      <c r="B96" s="754"/>
      <c r="C96" s="1231">
        <v>0</v>
      </c>
      <c r="D96" s="1231"/>
      <c r="E96" s="1231">
        <v>0</v>
      </c>
      <c r="F96" s="1231"/>
      <c r="G96" s="1231">
        <v>0</v>
      </c>
      <c r="H96" s="1231"/>
    </row>
    <row r="97" spans="1:8" ht="13.5" customHeight="1">
      <c r="A97" s="755" t="s">
        <v>988</v>
      </c>
      <c r="B97" s="756"/>
      <c r="C97" s="1227">
        <f>SUM(C93:D96)</f>
        <v>0</v>
      </c>
      <c r="D97" s="1227"/>
      <c r="E97" s="1227">
        <f>SUM(E93:F96)</f>
        <v>0</v>
      </c>
      <c r="F97" s="1227"/>
      <c r="G97" s="1227">
        <f>SUM(G93:H96)</f>
        <v>0</v>
      </c>
      <c r="H97" s="1227"/>
    </row>
    <row r="98" spans="1:8" ht="12.75" customHeight="1">
      <c r="A98" s="660"/>
      <c r="B98" s="660"/>
      <c r="C98" s="750"/>
      <c r="D98" s="750"/>
      <c r="E98" s="750"/>
      <c r="F98" s="732"/>
      <c r="G98" s="732"/>
      <c r="H98" s="733"/>
    </row>
    <row r="99" spans="1:8" ht="12.75" customHeight="1">
      <c r="A99" s="1235" t="s">
        <v>989</v>
      </c>
      <c r="B99" s="1235"/>
      <c r="C99" s="1236" t="s">
        <v>990</v>
      </c>
      <c r="D99" s="1236"/>
      <c r="E99" s="1236"/>
      <c r="F99" s="1236"/>
      <c r="G99" s="1236"/>
      <c r="H99" s="1236"/>
    </row>
    <row r="100" spans="1:8" ht="15.75" customHeight="1">
      <c r="A100" s="1235"/>
      <c r="B100" s="1235"/>
      <c r="C100" s="1236"/>
      <c r="D100" s="1236"/>
      <c r="E100" s="1236"/>
      <c r="F100" s="1236"/>
      <c r="G100" s="1236"/>
      <c r="H100" s="1236"/>
    </row>
    <row r="101" spans="1:8" ht="15" customHeight="1">
      <c r="A101" s="1235"/>
      <c r="B101" s="1235"/>
      <c r="C101" s="1228" t="s">
        <v>983</v>
      </c>
      <c r="D101" s="1228"/>
      <c r="E101" s="1237" t="s">
        <v>984</v>
      </c>
      <c r="F101" s="1237"/>
      <c r="G101" s="1236" t="s">
        <v>985</v>
      </c>
      <c r="H101" s="1236"/>
    </row>
    <row r="102" spans="1:8" ht="14.25" customHeight="1">
      <c r="A102" s="1235"/>
      <c r="B102" s="1235"/>
      <c r="C102" s="1228"/>
      <c r="D102" s="1228"/>
      <c r="E102" s="1237"/>
      <c r="F102" s="1237"/>
      <c r="G102" s="1236"/>
      <c r="H102" s="1236"/>
    </row>
    <row r="103" spans="1:8" ht="12.75" customHeight="1">
      <c r="A103" s="1235"/>
      <c r="B103" s="1235"/>
      <c r="C103" s="1228"/>
      <c r="D103" s="1228"/>
      <c r="E103" s="1238" t="s">
        <v>131</v>
      </c>
      <c r="F103" s="1238"/>
      <c r="G103" s="1236"/>
      <c r="H103" s="1236"/>
    </row>
    <row r="104" spans="1:8" ht="14.25" customHeight="1">
      <c r="A104" s="751" t="s">
        <v>991</v>
      </c>
      <c r="B104" s="757"/>
      <c r="C104" s="1233">
        <v>0</v>
      </c>
      <c r="D104" s="1233"/>
      <c r="E104" s="1234">
        <v>0</v>
      </c>
      <c r="F104" s="1234"/>
      <c r="G104" s="1234">
        <v>0</v>
      </c>
      <c r="H104" s="1234"/>
    </row>
    <row r="105" spans="1:8" ht="14.25" customHeight="1">
      <c r="A105" s="753" t="s">
        <v>978</v>
      </c>
      <c r="B105" s="758"/>
      <c r="C105" s="1231">
        <v>0</v>
      </c>
      <c r="D105" s="1231"/>
      <c r="E105" s="1232">
        <v>0</v>
      </c>
      <c r="F105" s="1232"/>
      <c r="G105" s="1232">
        <v>0</v>
      </c>
      <c r="H105" s="1232"/>
    </row>
    <row r="106" spans="1:8" ht="14.25" customHeight="1">
      <c r="A106" s="753" t="s">
        <v>1156</v>
      </c>
      <c r="B106" s="758"/>
      <c r="C106" s="1231">
        <v>0</v>
      </c>
      <c r="D106" s="1231"/>
      <c r="E106" s="1232">
        <v>0</v>
      </c>
      <c r="F106" s="1232"/>
      <c r="G106" s="1232">
        <v>0</v>
      </c>
      <c r="H106" s="1232"/>
    </row>
    <row r="107" spans="1:8" ht="24.75" customHeight="1">
      <c r="A107" s="753" t="s">
        <v>992</v>
      </c>
      <c r="B107" s="758"/>
      <c r="C107" s="1231">
        <v>0</v>
      </c>
      <c r="D107" s="1231"/>
      <c r="E107" s="1232">
        <v>0</v>
      </c>
      <c r="F107" s="1232"/>
      <c r="G107" s="1232">
        <v>0</v>
      </c>
      <c r="H107" s="1232"/>
    </row>
    <row r="108" spans="1:8" ht="12.75" customHeight="1">
      <c r="A108" s="1226" t="s">
        <v>993</v>
      </c>
      <c r="B108" s="1226"/>
      <c r="C108" s="1227">
        <f>SUM(C104:D107)</f>
        <v>0</v>
      </c>
      <c r="D108" s="1227"/>
      <c r="E108" s="1227">
        <f>SUM(E104:F107)</f>
        <v>0</v>
      </c>
      <c r="F108" s="1227"/>
      <c r="G108" s="1227">
        <f>SUM(G104:H107)</f>
        <v>0</v>
      </c>
      <c r="H108" s="1227"/>
    </row>
    <row r="109" spans="1:7" ht="14.25" customHeight="1">
      <c r="A109" s="660"/>
      <c r="B109" s="759"/>
      <c r="C109" s="750"/>
      <c r="D109" s="660"/>
      <c r="E109" s="660"/>
      <c r="F109" s="637"/>
      <c r="G109" s="637"/>
    </row>
    <row r="110" spans="1:8" ht="12.75" customHeight="1">
      <c r="A110" s="760" t="s">
        <v>942</v>
      </c>
      <c r="B110" s="1228" t="s">
        <v>117</v>
      </c>
      <c r="C110" s="1228" t="s">
        <v>118</v>
      </c>
      <c r="D110" s="1229" t="s">
        <v>119</v>
      </c>
      <c r="E110" s="1229"/>
      <c r="F110" s="1229" t="s">
        <v>120</v>
      </c>
      <c r="G110" s="1229"/>
      <c r="H110" s="1230" t="s">
        <v>943</v>
      </c>
    </row>
    <row r="111" spans="1:8" ht="14.25" customHeight="1">
      <c r="A111" s="761" t="s">
        <v>994</v>
      </c>
      <c r="B111" s="1228"/>
      <c r="C111" s="1228"/>
      <c r="D111" s="643" t="s">
        <v>39</v>
      </c>
      <c r="E111" s="762" t="s">
        <v>38</v>
      </c>
      <c r="F111" s="643" t="s">
        <v>39</v>
      </c>
      <c r="G111" s="762" t="s">
        <v>38</v>
      </c>
      <c r="H111" s="1230"/>
    </row>
    <row r="112" spans="1:8" ht="21.75" customHeight="1">
      <c r="A112" s="676"/>
      <c r="B112" s="1228"/>
      <c r="C112" s="1228"/>
      <c r="D112" s="678" t="s">
        <v>995</v>
      </c>
      <c r="E112" s="763" t="s">
        <v>996</v>
      </c>
      <c r="F112" s="678" t="s">
        <v>997</v>
      </c>
      <c r="G112" s="763" t="s">
        <v>998</v>
      </c>
      <c r="H112" s="1230"/>
    </row>
    <row r="113" spans="1:8" ht="14.25" customHeight="1">
      <c r="A113" s="660" t="s">
        <v>252</v>
      </c>
      <c r="B113" s="654">
        <v>1774000</v>
      </c>
      <c r="C113" s="654">
        <v>1664415.94</v>
      </c>
      <c r="D113" s="651">
        <v>807848.05</v>
      </c>
      <c r="E113" s="51">
        <f aca="true" t="shared" si="7" ref="E113:E119">IF($D$120="",0,IF($D$120=0,0,D113/$D$120))</f>
        <v>0.2948679120696764</v>
      </c>
      <c r="F113" s="651">
        <v>661370.77</v>
      </c>
      <c r="G113" s="51">
        <f aca="true" t="shared" si="8" ref="G113:G119">IF($F$120="",0,IF($F$120=0,0,F113/$F$120))</f>
        <v>0.3115833648738669</v>
      </c>
      <c r="H113" s="764">
        <v>146477.28</v>
      </c>
    </row>
    <row r="114" spans="1:8" ht="14.25" customHeight="1">
      <c r="A114" s="660" t="s">
        <v>253</v>
      </c>
      <c r="B114" s="654">
        <v>2175000</v>
      </c>
      <c r="C114" s="654">
        <v>1855527.4</v>
      </c>
      <c r="D114" s="651">
        <v>299517.12</v>
      </c>
      <c r="E114" s="51">
        <f t="shared" si="7"/>
        <v>0.10932499967478129</v>
      </c>
      <c r="F114" s="711">
        <v>299517.12</v>
      </c>
      <c r="G114" s="51">
        <f t="shared" si="8"/>
        <v>0.14110776635461192</v>
      </c>
      <c r="H114" s="691">
        <v>0</v>
      </c>
    </row>
    <row r="115" spans="1:8" ht="14.25" customHeight="1">
      <c r="A115" s="660" t="s">
        <v>254</v>
      </c>
      <c r="B115" s="654">
        <v>0</v>
      </c>
      <c r="C115" s="654">
        <v>0</v>
      </c>
      <c r="D115" s="651">
        <v>0</v>
      </c>
      <c r="E115" s="51">
        <f t="shared" si="7"/>
        <v>0</v>
      </c>
      <c r="F115" s="711">
        <v>0</v>
      </c>
      <c r="G115" s="51">
        <f t="shared" si="8"/>
        <v>0</v>
      </c>
      <c r="H115" s="691">
        <v>0</v>
      </c>
    </row>
    <row r="116" spans="1:8" ht="14.25" customHeight="1">
      <c r="A116" s="660" t="s">
        <v>255</v>
      </c>
      <c r="B116" s="654">
        <v>0</v>
      </c>
      <c r="C116" s="654">
        <v>0</v>
      </c>
      <c r="D116" s="651">
        <v>0</v>
      </c>
      <c r="E116" s="51">
        <f t="shared" si="7"/>
        <v>0</v>
      </c>
      <c r="F116" s="711">
        <v>0</v>
      </c>
      <c r="G116" s="51">
        <f t="shared" si="8"/>
        <v>0</v>
      </c>
      <c r="H116" s="691">
        <v>0</v>
      </c>
    </row>
    <row r="117" spans="1:8" ht="14.25" customHeight="1">
      <c r="A117" s="660" t="s">
        <v>256</v>
      </c>
      <c r="B117" s="654">
        <v>132000</v>
      </c>
      <c r="C117" s="654">
        <v>288461.5</v>
      </c>
      <c r="D117" s="651">
        <v>239223.31</v>
      </c>
      <c r="E117" s="51">
        <f t="shared" si="7"/>
        <v>0.08731750721945411</v>
      </c>
      <c r="F117" s="711">
        <v>119164.11</v>
      </c>
      <c r="G117" s="51">
        <f t="shared" si="8"/>
        <v>0.056140301401586906</v>
      </c>
      <c r="H117" s="691">
        <v>120059.2</v>
      </c>
    </row>
    <row r="118" spans="1:8" ht="14.25" customHeight="1">
      <c r="A118" s="660" t="s">
        <v>257</v>
      </c>
      <c r="B118" s="654">
        <v>0</v>
      </c>
      <c r="C118" s="654">
        <v>0</v>
      </c>
      <c r="D118" s="651">
        <v>0</v>
      </c>
      <c r="E118" s="51">
        <f t="shared" si="7"/>
        <v>0</v>
      </c>
      <c r="F118" s="711">
        <v>0</v>
      </c>
      <c r="G118" s="51">
        <f t="shared" si="8"/>
        <v>0</v>
      </c>
      <c r="H118" s="691">
        <v>0</v>
      </c>
    </row>
    <row r="119" spans="1:8" ht="14.25" customHeight="1">
      <c r="A119" s="750" t="s">
        <v>999</v>
      </c>
      <c r="B119" s="765">
        <v>1419000</v>
      </c>
      <c r="C119" s="765">
        <v>1691595.16</v>
      </c>
      <c r="D119" s="651">
        <v>1393106.2</v>
      </c>
      <c r="E119" s="51">
        <f t="shared" si="7"/>
        <v>0.5084895810360883</v>
      </c>
      <c r="F119" s="711">
        <v>1042560.58</v>
      </c>
      <c r="G119" s="51">
        <f t="shared" si="8"/>
        <v>0.49116856736993425</v>
      </c>
      <c r="H119" s="693">
        <v>350545.62</v>
      </c>
    </row>
    <row r="120" spans="1:8" ht="14.25" customHeight="1">
      <c r="A120" s="670" t="s">
        <v>1000</v>
      </c>
      <c r="B120" s="671">
        <f>SUM(B113:B119)</f>
        <v>5500000</v>
      </c>
      <c r="C120" s="671">
        <f>SUM(C113:C119)</f>
        <v>5500000</v>
      </c>
      <c r="D120" s="671">
        <f>SUM(D113:D119)</f>
        <v>2739694.6799999997</v>
      </c>
      <c r="E120" s="766"/>
      <c r="F120" s="671">
        <f>SUM(F113:F119)</f>
        <v>2122612.58</v>
      </c>
      <c r="G120" s="766"/>
      <c r="H120" s="767">
        <f>SUM(H113:H119)</f>
        <v>617082.1</v>
      </c>
    </row>
    <row r="121" spans="1:8" ht="14.25" customHeight="1">
      <c r="A121" s="1224" t="s">
        <v>1151</v>
      </c>
      <c r="B121" s="1224"/>
      <c r="C121" s="1224"/>
      <c r="D121" s="1224"/>
      <c r="E121" s="1224"/>
      <c r="F121" s="1224"/>
      <c r="G121" s="1224"/>
      <c r="H121" s="1224"/>
    </row>
    <row r="122" spans="1:7" ht="14.25" customHeight="1">
      <c r="A122" s="660" t="s">
        <v>1001</v>
      </c>
      <c r="B122" s="660"/>
      <c r="C122" s="660"/>
      <c r="D122" s="660"/>
      <c r="E122" s="660"/>
      <c r="F122" s="672"/>
      <c r="G122" s="672"/>
    </row>
    <row r="123" spans="1:7" ht="14.25" customHeight="1">
      <c r="A123" s="768" t="s">
        <v>1002</v>
      </c>
      <c r="B123" s="660"/>
      <c r="C123" s="660"/>
      <c r="D123" s="660"/>
      <c r="E123" s="660"/>
      <c r="F123" s="672"/>
      <c r="G123" s="672"/>
    </row>
    <row r="124" spans="1:7" ht="14.25" customHeight="1">
      <c r="A124" s="768" t="s">
        <v>1003</v>
      </c>
      <c r="B124" s="660"/>
      <c r="C124" s="660"/>
      <c r="D124" s="660"/>
      <c r="E124" s="660"/>
      <c r="F124" s="672"/>
      <c r="G124" s="672"/>
    </row>
    <row r="125" spans="1:7" ht="14.25" customHeight="1">
      <c r="A125" s="769" t="s">
        <v>1004</v>
      </c>
      <c r="B125" s="638"/>
      <c r="C125" s="638"/>
      <c r="D125" s="660"/>
      <c r="E125" s="660"/>
      <c r="F125" s="672"/>
      <c r="G125" s="672"/>
    </row>
    <row r="126" spans="1:7" ht="14.25" customHeight="1">
      <c r="A126" s="769" t="s">
        <v>1005</v>
      </c>
      <c r="B126" s="637"/>
      <c r="C126" s="637"/>
      <c r="D126" s="637"/>
      <c r="E126" s="637"/>
      <c r="F126" s="637"/>
      <c r="G126" s="637"/>
    </row>
    <row r="127" spans="1:7" ht="14.25" customHeight="1">
      <c r="A127" s="768" t="s">
        <v>1006</v>
      </c>
      <c r="B127" s="637"/>
      <c r="C127" s="637"/>
      <c r="D127" s="637"/>
      <c r="E127" s="637"/>
      <c r="F127" s="637"/>
      <c r="G127" s="637"/>
    </row>
    <row r="128" spans="1:3" ht="12.75" customHeight="1">
      <c r="A128" s="1225" t="s">
        <v>1007</v>
      </c>
      <c r="B128" s="1225"/>
      <c r="C128" s="1225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8.7109375" defaultRowHeight="14.25" customHeight="1"/>
  <cols>
    <col min="1" max="1" width="75.28125" style="770" customWidth="1"/>
    <col min="2" max="2" width="14.28125" style="770" customWidth="1"/>
    <col min="3" max="3" width="7.8515625" style="770" customWidth="1"/>
    <col min="4" max="4" width="14.421875" style="770" customWidth="1"/>
    <col min="5" max="5" width="12.28125" style="770" customWidth="1"/>
    <col min="6" max="6" width="14.421875" style="770" customWidth="1"/>
    <col min="7" max="7" width="12.28125" style="770" customWidth="1"/>
    <col min="8" max="8" width="14.421875" style="770" customWidth="1"/>
    <col min="9" max="9" width="8.7109375" style="771" customWidth="1"/>
    <col min="10" max="16384" width="8.7109375" style="770" customWidth="1"/>
  </cols>
  <sheetData>
    <row r="1" spans="1:7" ht="16.5" customHeight="1">
      <c r="A1" s="772" t="s">
        <v>1008</v>
      </c>
      <c r="B1" s="773"/>
      <c r="C1" s="773"/>
      <c r="D1" s="773"/>
      <c r="E1" s="773"/>
      <c r="F1" s="774"/>
      <c r="G1" s="774"/>
    </row>
    <row r="2" spans="1:7" ht="14.25" customHeight="1">
      <c r="A2" s="775"/>
      <c r="B2" s="775"/>
      <c r="C2" s="775"/>
      <c r="D2" s="775"/>
      <c r="E2" s="775"/>
      <c r="F2" s="774"/>
      <c r="G2" s="774"/>
    </row>
    <row r="3" spans="1:7" ht="14.25" customHeight="1">
      <c r="A3" s="1280" t="str">
        <f>+'Informações Iniciais'!A1:B1</f>
        <v>MUNICÍPIO DE RIBAMAR FIQUENE - PODER EXECUTIVO</v>
      </c>
      <c r="B3" s="1280"/>
      <c r="C3" s="1280"/>
      <c r="D3" s="1280"/>
      <c r="E3" s="1280"/>
      <c r="F3" s="1280"/>
      <c r="G3" s="1280"/>
    </row>
    <row r="4" spans="1:7" ht="14.25" customHeight="1">
      <c r="A4" s="1280" t="s">
        <v>0</v>
      </c>
      <c r="B4" s="1280"/>
      <c r="C4" s="1280"/>
      <c r="D4" s="1280"/>
      <c r="E4" s="1280"/>
      <c r="F4" s="1280"/>
      <c r="G4" s="1280"/>
    </row>
    <row r="5" spans="1:7" ht="14.25" customHeight="1">
      <c r="A5" s="1281" t="s">
        <v>908</v>
      </c>
      <c r="B5" s="1281"/>
      <c r="C5" s="1281"/>
      <c r="D5" s="1281"/>
      <c r="E5" s="1281"/>
      <c r="F5" s="1281"/>
      <c r="G5" s="1281"/>
    </row>
    <row r="6" spans="1:7" ht="14.25" customHeight="1">
      <c r="A6" s="1280" t="s">
        <v>29</v>
      </c>
      <c r="B6" s="1280"/>
      <c r="C6" s="1280"/>
      <c r="D6" s="1280"/>
      <c r="E6" s="1280"/>
      <c r="F6" s="1280"/>
      <c r="G6" s="1280"/>
    </row>
    <row r="7" spans="1:7" ht="14.25" customHeight="1">
      <c r="A7" s="1280" t="str">
        <f>+'Informações Iniciais'!A5:B5</f>
        <v>3º Bimestre de 2020</v>
      </c>
      <c r="B7" s="1280"/>
      <c r="C7" s="1280"/>
      <c r="D7" s="1280"/>
      <c r="E7" s="1280"/>
      <c r="F7" s="1280"/>
      <c r="G7" s="1280"/>
    </row>
    <row r="8" spans="1:7" ht="14.25" customHeight="1">
      <c r="A8" s="775"/>
      <c r="B8" s="775"/>
      <c r="C8" s="775"/>
      <c r="D8" s="775"/>
      <c r="E8" s="775"/>
      <c r="F8" s="774"/>
      <c r="G8" s="774"/>
    </row>
    <row r="9" spans="1:8" ht="14.25" customHeight="1">
      <c r="A9" s="776" t="s">
        <v>1009</v>
      </c>
      <c r="B9" s="773"/>
      <c r="C9" s="773"/>
      <c r="D9" s="773"/>
      <c r="E9" s="774"/>
      <c r="F9" s="774"/>
      <c r="G9" s="777"/>
      <c r="H9" s="778" t="s">
        <v>31</v>
      </c>
    </row>
    <row r="10" spans="1:8" ht="12.75" customHeight="1">
      <c r="A10" s="779" t="s">
        <v>1010</v>
      </c>
      <c r="B10" s="1282" t="s">
        <v>1011</v>
      </c>
      <c r="C10" s="1282"/>
      <c r="D10" s="1277" t="s">
        <v>119</v>
      </c>
      <c r="E10" s="1277"/>
      <c r="F10" s="1277" t="s">
        <v>120</v>
      </c>
      <c r="G10" s="1277"/>
      <c r="H10" s="1279" t="s">
        <v>1012</v>
      </c>
    </row>
    <row r="11" spans="1:8" ht="21.75" customHeight="1">
      <c r="A11" s="780" t="s">
        <v>821</v>
      </c>
      <c r="B11" s="1282"/>
      <c r="C11" s="1282"/>
      <c r="D11" s="781" t="s">
        <v>39</v>
      </c>
      <c r="E11" s="782" t="s">
        <v>38</v>
      </c>
      <c r="F11" s="781" t="s">
        <v>39</v>
      </c>
      <c r="G11" s="782" t="s">
        <v>38</v>
      </c>
      <c r="H11" s="1279"/>
    </row>
    <row r="12" spans="1:8" ht="14.25" customHeight="1">
      <c r="A12" s="783" t="s">
        <v>944</v>
      </c>
      <c r="B12" s="1282"/>
      <c r="C12" s="1282"/>
      <c r="D12" s="784" t="s">
        <v>41</v>
      </c>
      <c r="E12" s="785" t="s">
        <v>911</v>
      </c>
      <c r="F12" s="784" t="s">
        <v>43</v>
      </c>
      <c r="G12" s="785" t="s">
        <v>1013</v>
      </c>
      <c r="H12" s="1279"/>
    </row>
    <row r="13" spans="1:8" ht="14.25" customHeight="1">
      <c r="A13" s="786" t="s">
        <v>947</v>
      </c>
      <c r="B13" s="1258">
        <f>SUM(B14:C16)</f>
        <v>0</v>
      </c>
      <c r="C13" s="1258"/>
      <c r="D13" s="653">
        <f>SUM(D14:D16)</f>
        <v>0</v>
      </c>
      <c r="E13" s="653">
        <f aca="true" t="shared" si="0" ref="E13:E21">IF($B13="",0,IF($B13=0,0,D13/$B13))</f>
        <v>0</v>
      </c>
      <c r="F13" s="653">
        <f>SUM(F14:F16)</f>
        <v>0</v>
      </c>
      <c r="G13" s="653">
        <f aca="true" t="shared" si="1" ref="G13:G21">IF($B13="",0,IF($B13=0,0,F13/$B13))</f>
        <v>0</v>
      </c>
      <c r="H13" s="787">
        <f>SUM(H14:H16)</f>
        <v>0</v>
      </c>
    </row>
    <row r="14" spans="1:8" ht="14.25" customHeight="1">
      <c r="A14" s="788" t="s">
        <v>572</v>
      </c>
      <c r="B14" s="1253">
        <v>0</v>
      </c>
      <c r="C14" s="1253"/>
      <c r="D14" s="657">
        <v>0</v>
      </c>
      <c r="E14" s="653">
        <f t="shared" si="0"/>
        <v>0</v>
      </c>
      <c r="F14" s="657">
        <v>0</v>
      </c>
      <c r="G14" s="653">
        <f t="shared" si="1"/>
        <v>0</v>
      </c>
      <c r="H14" s="692">
        <v>0</v>
      </c>
    </row>
    <row r="15" spans="1:8" ht="14.25" customHeight="1">
      <c r="A15" s="788" t="s">
        <v>948</v>
      </c>
      <c r="B15" s="1253">
        <v>0</v>
      </c>
      <c r="C15" s="1253"/>
      <c r="D15" s="657">
        <v>0</v>
      </c>
      <c r="E15" s="653">
        <f t="shared" si="0"/>
        <v>0</v>
      </c>
      <c r="F15" s="657">
        <v>0</v>
      </c>
      <c r="G15" s="653">
        <f t="shared" si="1"/>
        <v>0</v>
      </c>
      <c r="H15" s="692">
        <v>0</v>
      </c>
    </row>
    <row r="16" spans="1:8" ht="14.25" customHeight="1">
      <c r="A16" s="788" t="s">
        <v>574</v>
      </c>
      <c r="B16" s="1253">
        <v>0</v>
      </c>
      <c r="C16" s="1253"/>
      <c r="D16" s="657">
        <v>0</v>
      </c>
      <c r="E16" s="653">
        <f t="shared" si="0"/>
        <v>0</v>
      </c>
      <c r="F16" s="657">
        <v>0</v>
      </c>
      <c r="G16" s="653">
        <f t="shared" si="1"/>
        <v>0</v>
      </c>
      <c r="H16" s="692">
        <v>0</v>
      </c>
    </row>
    <row r="17" spans="1:8" ht="14.25" customHeight="1">
      <c r="A17" s="788" t="s">
        <v>852</v>
      </c>
      <c r="B17" s="1265">
        <f>SUM(B18:C20)</f>
        <v>0</v>
      </c>
      <c r="C17" s="1265"/>
      <c r="D17" s="653">
        <f>SUM(D18:D20)</f>
        <v>0</v>
      </c>
      <c r="E17" s="653">
        <f t="shared" si="0"/>
        <v>0</v>
      </c>
      <c r="F17" s="653">
        <f>SUM(F18:F20)</f>
        <v>0</v>
      </c>
      <c r="G17" s="653">
        <f t="shared" si="1"/>
        <v>0</v>
      </c>
      <c r="H17" s="789">
        <f>SUM(H18:H20)</f>
        <v>0</v>
      </c>
    </row>
    <row r="18" spans="1:8" ht="14.25" customHeight="1">
      <c r="A18" s="775" t="s">
        <v>949</v>
      </c>
      <c r="B18" s="1253">
        <v>0</v>
      </c>
      <c r="C18" s="1253"/>
      <c r="D18" s="657">
        <v>0</v>
      </c>
      <c r="E18" s="653">
        <f t="shared" si="0"/>
        <v>0</v>
      </c>
      <c r="F18" s="657">
        <v>0</v>
      </c>
      <c r="G18" s="653">
        <f t="shared" si="1"/>
        <v>0</v>
      </c>
      <c r="H18" s="535">
        <v>0</v>
      </c>
    </row>
    <row r="19" spans="1:8" ht="14.25" customHeight="1">
      <c r="A19" s="775" t="s">
        <v>578</v>
      </c>
      <c r="B19" s="1253">
        <v>0</v>
      </c>
      <c r="C19" s="1253"/>
      <c r="D19" s="657">
        <v>0</v>
      </c>
      <c r="E19" s="653">
        <f t="shared" si="0"/>
        <v>0</v>
      </c>
      <c r="F19" s="657">
        <v>0</v>
      </c>
      <c r="G19" s="653">
        <f t="shared" si="1"/>
        <v>0</v>
      </c>
      <c r="H19" s="535">
        <v>0</v>
      </c>
    </row>
    <row r="20" spans="1:8" ht="14.25" customHeight="1">
      <c r="A20" s="775" t="s">
        <v>950</v>
      </c>
      <c r="B20" s="1274">
        <v>0</v>
      </c>
      <c r="C20" s="1274"/>
      <c r="D20" s="657">
        <v>0</v>
      </c>
      <c r="E20" s="653">
        <f t="shared" si="0"/>
        <v>0</v>
      </c>
      <c r="F20" s="657">
        <v>0</v>
      </c>
      <c r="G20" s="653">
        <f t="shared" si="1"/>
        <v>0</v>
      </c>
      <c r="H20" s="537">
        <v>0</v>
      </c>
    </row>
    <row r="21" spans="1:9" ht="14.25" customHeight="1">
      <c r="A21" s="790" t="s">
        <v>1014</v>
      </c>
      <c r="B21" s="1275">
        <f>B13+B17</f>
        <v>0</v>
      </c>
      <c r="C21" s="1275"/>
      <c r="D21" s="791">
        <f>D13+D17</f>
        <v>0</v>
      </c>
      <c r="E21" s="792">
        <f t="shared" si="0"/>
        <v>0</v>
      </c>
      <c r="F21" s="791">
        <f>F13+F17</f>
        <v>0</v>
      </c>
      <c r="G21" s="792">
        <f t="shared" si="1"/>
        <v>0</v>
      </c>
      <c r="H21" s="793">
        <f>H13+H17</f>
        <v>0</v>
      </c>
      <c r="I21" s="771">
        <f>IF(A7=J21,IF(D21-(F21+H21)&lt;&gt;0,1,0),0)</f>
        <v>0</v>
      </c>
    </row>
    <row r="22" spans="1:8" ht="15.75" customHeight="1">
      <c r="A22" s="1273">
        <f>IF(I21=1,"O total das DESPESAS EMPENHADAS deve coreesponder ao somatório das DESPESAS LIQUIDADAS + Inscritas em Restos a Pagar não Processados","")</f>
      </c>
      <c r="B22" s="1273"/>
      <c r="C22" s="1273"/>
      <c r="D22" s="1273"/>
      <c r="E22" s="1273"/>
      <c r="F22" s="1273"/>
      <c r="G22" s="1273"/>
      <c r="H22" s="1273"/>
    </row>
    <row r="23" spans="1:8" ht="12.75" customHeight="1">
      <c r="A23" s="1276" t="s">
        <v>953</v>
      </c>
      <c r="B23" s="1276"/>
      <c r="C23" s="1276"/>
      <c r="D23" s="1277" t="s">
        <v>119</v>
      </c>
      <c r="E23" s="1277"/>
      <c r="F23" s="1277" t="s">
        <v>120</v>
      </c>
      <c r="G23" s="1277"/>
      <c r="H23" s="1278" t="s">
        <v>1012</v>
      </c>
    </row>
    <row r="24" spans="1:8" ht="21.75" customHeight="1">
      <c r="A24" s="1276"/>
      <c r="B24" s="1276"/>
      <c r="C24" s="1276"/>
      <c r="D24" s="794" t="s">
        <v>39</v>
      </c>
      <c r="E24" s="795" t="s">
        <v>38</v>
      </c>
      <c r="F24" s="794" t="s">
        <v>39</v>
      </c>
      <c r="G24" s="795" t="s">
        <v>38</v>
      </c>
      <c r="H24" s="1278"/>
    </row>
    <row r="25" spans="1:8" ht="14.25" customHeight="1">
      <c r="A25" s="1276"/>
      <c r="B25" s="1276"/>
      <c r="C25" s="1276"/>
      <c r="D25" s="784" t="s">
        <v>124</v>
      </c>
      <c r="E25" s="785" t="s">
        <v>1015</v>
      </c>
      <c r="F25" s="784" t="s">
        <v>126</v>
      </c>
      <c r="G25" s="785" t="s">
        <v>1016</v>
      </c>
      <c r="H25" s="1278"/>
    </row>
    <row r="26" spans="1:8" ht="14.25" customHeight="1">
      <c r="A26" s="796" t="s">
        <v>957</v>
      </c>
      <c r="B26" s="797"/>
      <c r="C26" s="798"/>
      <c r="D26" s="657">
        <v>0</v>
      </c>
      <c r="E26" s="690">
        <v>0</v>
      </c>
      <c r="F26" s="706">
        <v>0</v>
      </c>
      <c r="G26" s="692">
        <v>0</v>
      </c>
      <c r="H26" s="799">
        <v>0</v>
      </c>
    </row>
    <row r="27" spans="1:8" ht="14.25" customHeight="1">
      <c r="A27" s="796" t="s">
        <v>958</v>
      </c>
      <c r="B27" s="796"/>
      <c r="C27" s="798"/>
      <c r="D27" s="653">
        <f>SUM(D28:D30)</f>
        <v>0</v>
      </c>
      <c r="E27" s="653">
        <f>SUM(E28:E30)</f>
        <v>0</v>
      </c>
      <c r="F27" s="653">
        <f>SUM(F28:F30)</f>
        <v>0</v>
      </c>
      <c r="G27" s="653">
        <f>SUM(G28:G30)</f>
        <v>0</v>
      </c>
      <c r="H27" s="789">
        <f>SUM(H28:H30)</f>
        <v>0</v>
      </c>
    </row>
    <row r="28" spans="1:8" ht="14.25" customHeight="1">
      <c r="A28" s="776" t="s">
        <v>959</v>
      </c>
      <c r="B28" s="788"/>
      <c r="C28" s="788"/>
      <c r="D28" s="657">
        <v>0</v>
      </c>
      <c r="E28" s="657">
        <v>0</v>
      </c>
      <c r="F28" s="657">
        <v>0</v>
      </c>
      <c r="G28" s="657">
        <v>0</v>
      </c>
      <c r="H28" s="692">
        <v>0</v>
      </c>
    </row>
    <row r="29" spans="1:8" ht="14.25" customHeight="1">
      <c r="A29" s="776" t="s">
        <v>960</v>
      </c>
      <c r="B29" s="788"/>
      <c r="C29" s="788"/>
      <c r="D29" s="657">
        <v>0</v>
      </c>
      <c r="E29" s="657">
        <v>0</v>
      </c>
      <c r="F29" s="657">
        <v>0</v>
      </c>
      <c r="G29" s="657">
        <v>0</v>
      </c>
      <c r="H29" s="692">
        <v>0</v>
      </c>
    </row>
    <row r="30" spans="1:8" ht="14.25" customHeight="1">
      <c r="A30" s="800" t="s">
        <v>961</v>
      </c>
      <c r="B30" s="788"/>
      <c r="C30" s="788"/>
      <c r="D30" s="656">
        <v>0</v>
      </c>
      <c r="E30" s="656">
        <v>0</v>
      </c>
      <c r="F30" s="656">
        <v>0</v>
      </c>
      <c r="G30" s="656">
        <v>0</v>
      </c>
      <c r="H30" s="656">
        <v>0</v>
      </c>
    </row>
    <row r="31" spans="1:8" ht="14.25" customHeight="1">
      <c r="A31" s="796" t="s">
        <v>962</v>
      </c>
      <c r="B31" s="788"/>
      <c r="C31" s="788"/>
      <c r="D31" s="656">
        <v>0</v>
      </c>
      <c r="E31" s="656">
        <v>0</v>
      </c>
      <c r="F31" s="656">
        <v>0</v>
      </c>
      <c r="G31" s="656">
        <v>0</v>
      </c>
      <c r="H31" s="656">
        <v>0</v>
      </c>
    </row>
    <row r="32" spans="1:8" ht="13.5" customHeight="1">
      <c r="A32" s="1271" t="s">
        <v>1017</v>
      </c>
      <c r="B32" s="1271"/>
      <c r="C32" s="1271"/>
      <c r="D32" s="656">
        <v>0</v>
      </c>
      <c r="E32" s="656">
        <v>0</v>
      </c>
      <c r="F32" s="656">
        <v>0</v>
      </c>
      <c r="G32" s="656">
        <v>0</v>
      </c>
      <c r="H32" s="656">
        <v>0</v>
      </c>
    </row>
    <row r="33" spans="1:8" ht="12.75" customHeight="1">
      <c r="A33" s="1271" t="s">
        <v>1018</v>
      </c>
      <c r="B33" s="1271"/>
      <c r="C33" s="1271"/>
      <c r="D33" s="656">
        <v>0</v>
      </c>
      <c r="E33" s="656">
        <v>0</v>
      </c>
      <c r="F33" s="656">
        <v>0</v>
      </c>
      <c r="G33" s="656">
        <v>0</v>
      </c>
      <c r="H33" s="656">
        <v>0</v>
      </c>
    </row>
    <row r="34" spans="1:8" ht="24" customHeight="1">
      <c r="A34" s="1272" t="s">
        <v>1019</v>
      </c>
      <c r="B34" s="1272"/>
      <c r="C34" s="1272"/>
      <c r="D34" s="656">
        <v>0</v>
      </c>
      <c r="E34" s="656">
        <v>0</v>
      </c>
      <c r="F34" s="656">
        <v>0</v>
      </c>
      <c r="G34" s="656">
        <v>0</v>
      </c>
      <c r="H34" s="656">
        <v>0</v>
      </c>
    </row>
    <row r="35" spans="1:9" ht="16.5" customHeight="1">
      <c r="A35" s="801" t="s">
        <v>1020</v>
      </c>
      <c r="B35" s="802"/>
      <c r="C35" s="803"/>
      <c r="D35" s="725">
        <f>D26+D27+D31+D32+D33+D34</f>
        <v>0</v>
      </c>
      <c r="E35" s="725">
        <f>E26+E27+E31+E32+E33+E34</f>
        <v>0</v>
      </c>
      <c r="F35" s="725">
        <f>F26+F27+F31+F32+F33+F34</f>
        <v>0</v>
      </c>
      <c r="G35" s="725">
        <f>G26+G27+G31+G32+G33+G34</f>
        <v>0</v>
      </c>
      <c r="H35" s="725">
        <f>H26+H27+H31+H32+H33+H34</f>
        <v>0</v>
      </c>
      <c r="I35" s="771">
        <f>IF(A7=J21,IF(D35-(F35+H35)&lt;&gt;0,1,0),0)</f>
        <v>0</v>
      </c>
    </row>
    <row r="36" spans="1:8" ht="16.5" customHeight="1">
      <c r="A36" s="1273">
        <f>IF(I35=1,"O total das DESPESAS EMPENHADAS deve coreesponder ao somatório das DESPESAS LIQUIDADAS + Inscritas em Restos a Pagar não Processados","")</f>
      </c>
      <c r="B36" s="1273"/>
      <c r="C36" s="1273"/>
      <c r="D36" s="1273"/>
      <c r="E36" s="1273"/>
      <c r="F36" s="1273"/>
      <c r="G36" s="1273"/>
      <c r="H36" s="1273"/>
    </row>
    <row r="37" spans="1:8" ht="22.5" customHeight="1">
      <c r="A37" s="804" t="s">
        <v>1021</v>
      </c>
      <c r="B37" s="805"/>
      <c r="C37" s="805"/>
      <c r="D37" s="806">
        <f>D21-D35</f>
        <v>0</v>
      </c>
      <c r="E37" s="806">
        <f>E21-E35</f>
        <v>0</v>
      </c>
      <c r="F37" s="806">
        <f>F21-F35</f>
        <v>0</v>
      </c>
      <c r="G37" s="807">
        <f>G21-G35</f>
        <v>0</v>
      </c>
      <c r="H37" s="807">
        <f>H21-H35</f>
        <v>0</v>
      </c>
    </row>
    <row r="38" spans="1:7" ht="15" customHeight="1">
      <c r="A38" s="1158" t="s">
        <v>843</v>
      </c>
      <c r="B38" s="1158"/>
      <c r="C38" s="1158"/>
      <c r="D38" s="788"/>
      <c r="E38" s="788"/>
      <c r="F38" s="774"/>
      <c r="G38" s="774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8.7109375" defaultRowHeight="11.25" customHeight="1"/>
  <cols>
    <col min="1" max="1" width="50.421875" style="808" customWidth="1"/>
    <col min="2" max="2" width="14.7109375" style="808" customWidth="1"/>
    <col min="3" max="3" width="14.00390625" style="808" customWidth="1"/>
    <col min="4" max="4" width="12.140625" style="808" customWidth="1"/>
    <col min="5" max="5" width="12.57421875" style="808" customWidth="1"/>
    <col min="6" max="6" width="12.140625" style="808" customWidth="1"/>
    <col min="7" max="7" width="12.00390625" style="808" customWidth="1"/>
    <col min="8" max="8" width="13.421875" style="808" customWidth="1"/>
    <col min="9" max="9" width="14.57421875" style="808" customWidth="1"/>
    <col min="10" max="10" width="12.57421875" style="808" customWidth="1"/>
    <col min="11" max="11" width="12.421875" style="808" customWidth="1"/>
    <col min="12" max="12" width="13.57421875" style="808" customWidth="1"/>
    <col min="13" max="13" width="7.57421875" style="809" customWidth="1"/>
    <col min="14" max="16" width="8.7109375" style="809" customWidth="1"/>
    <col min="17" max="16384" width="8.7109375" style="808" customWidth="1"/>
  </cols>
  <sheetData>
    <row r="1" spans="1:3" ht="15.75" customHeight="1">
      <c r="A1" s="810" t="s">
        <v>1022</v>
      </c>
      <c r="B1" s="811"/>
      <c r="C1" s="811"/>
    </row>
    <row r="3" spans="1:13" ht="11.25" customHeight="1">
      <c r="A3" s="1311" t="str">
        <f>+'Informações Iniciais'!A1:B1</f>
        <v>MUNICÍPIO DE RIBAMAR FIQUENE - PODER EXECUTIVO</v>
      </c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812"/>
    </row>
    <row r="4" spans="1:13" ht="11.25" customHeight="1">
      <c r="A4" s="1311" t="s">
        <v>0</v>
      </c>
      <c r="B4" s="1311"/>
      <c r="C4" s="1311"/>
      <c r="D4" s="1311"/>
      <c r="E4" s="1311"/>
      <c r="F4" s="1311"/>
      <c r="G4" s="1311"/>
      <c r="H4" s="1311"/>
      <c r="I4" s="1311"/>
      <c r="J4" s="1311"/>
      <c r="K4" s="1311"/>
      <c r="L4" s="1311"/>
      <c r="M4" s="812"/>
    </row>
    <row r="5" spans="1:13" ht="12.75" customHeight="1">
      <c r="A5" s="1312" t="s">
        <v>1023</v>
      </c>
      <c r="B5" s="1312"/>
      <c r="C5" s="1312"/>
      <c r="D5" s="1312"/>
      <c r="E5" s="1312"/>
      <c r="F5" s="1312"/>
      <c r="G5" s="1312"/>
      <c r="H5" s="1312"/>
      <c r="I5" s="1312"/>
      <c r="J5" s="1312"/>
      <c r="K5" s="1312"/>
      <c r="L5" s="1312"/>
      <c r="M5" s="812"/>
    </row>
    <row r="6" spans="1:13" ht="11.25" customHeight="1">
      <c r="A6" s="1311" t="s">
        <v>29</v>
      </c>
      <c r="B6" s="1311"/>
      <c r="C6" s="1311"/>
      <c r="D6" s="1311"/>
      <c r="E6" s="1311"/>
      <c r="F6" s="1311"/>
      <c r="G6" s="1311"/>
      <c r="H6" s="1311"/>
      <c r="I6" s="1311"/>
      <c r="J6" s="1311"/>
      <c r="K6" s="1311"/>
      <c r="L6" s="1311"/>
      <c r="M6" s="812"/>
    </row>
    <row r="7" spans="1:13" ht="11.25" customHeight="1">
      <c r="A7" s="1311" t="str">
        <f>+'Informações Iniciais'!A5:B5</f>
        <v>3º Bimestre de 2020</v>
      </c>
      <c r="B7" s="1311"/>
      <c r="C7" s="1311"/>
      <c r="D7" s="1311"/>
      <c r="E7" s="1311"/>
      <c r="F7" s="1311"/>
      <c r="G7" s="1311"/>
      <c r="H7" s="1311"/>
      <c r="I7" s="1311"/>
      <c r="J7" s="1311"/>
      <c r="K7" s="1311"/>
      <c r="L7" s="1311"/>
      <c r="M7" s="812"/>
    </row>
    <row r="8" spans="1:13" ht="15.75" customHeight="1">
      <c r="A8" s="1313">
        <f>IF(M8&gt;0,"ERRO!!!  Em alguma linha o saldo 'Até o bimestre' está menor que o valor 'No bimestre'. Verifique!!!","")</f>
      </c>
      <c r="B8" s="1313"/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812">
        <f>SUM(M12:M22)</f>
        <v>0</v>
      </c>
    </row>
    <row r="9" spans="1:13" ht="11.25" customHeight="1">
      <c r="A9" s="1302" t="s">
        <v>1024</v>
      </c>
      <c r="B9" s="1302"/>
      <c r="C9" s="1302"/>
      <c r="D9" s="1302"/>
      <c r="E9" s="1303"/>
      <c r="F9" s="1303"/>
      <c r="G9" s="1303"/>
      <c r="H9" s="813"/>
      <c r="I9" s="1304"/>
      <c r="J9" s="1304"/>
      <c r="K9" s="1305" t="s">
        <v>31</v>
      </c>
      <c r="L9" s="1305"/>
      <c r="M9" s="812"/>
    </row>
    <row r="10" spans="1:16" s="818" customFormat="1" ht="11.25" customHeight="1">
      <c r="A10" s="1306" t="s">
        <v>1025</v>
      </c>
      <c r="B10" s="1307" t="s">
        <v>1026</v>
      </c>
      <c r="C10" s="1307"/>
      <c r="D10" s="1307"/>
      <c r="E10" s="1308" t="s">
        <v>1027</v>
      </c>
      <c r="F10" s="1308"/>
      <c r="G10" s="1308"/>
      <c r="H10" s="1308"/>
      <c r="I10" s="1308"/>
      <c r="J10" s="814" t="str">
        <f>RIGHT('Informações Iniciais'!IV5,4)</f>
        <v>2019</v>
      </c>
      <c r="K10" s="815"/>
      <c r="L10" s="815"/>
      <c r="M10" s="816"/>
      <c r="N10" s="817"/>
      <c r="O10" s="817" t="s">
        <v>1028</v>
      </c>
      <c r="P10" s="817"/>
    </row>
    <row r="11" spans="1:16" s="818" customFormat="1" ht="11.25" customHeight="1">
      <c r="A11" s="1306"/>
      <c r="B11" s="1309" t="str">
        <f>CONCATENATE(O10,(J10-1))</f>
        <v>31 DE DEZEMBRO DE 2018</v>
      </c>
      <c r="C11" s="1309"/>
      <c r="D11" s="1309"/>
      <c r="E11" s="1310" t="s">
        <v>1029</v>
      </c>
      <c r="F11" s="1310"/>
      <c r="G11" s="1310"/>
      <c r="H11" s="1310"/>
      <c r="I11" s="1283" t="s">
        <v>1030</v>
      </c>
      <c r="J11" s="1283"/>
      <c r="K11" s="1283"/>
      <c r="L11" s="1283"/>
      <c r="M11" s="816"/>
      <c r="N11" s="817"/>
      <c r="O11" s="817"/>
      <c r="P11" s="817"/>
    </row>
    <row r="12" spans="1:16" s="818" customFormat="1" ht="11.25" customHeight="1">
      <c r="A12" s="819" t="s">
        <v>1031</v>
      </c>
      <c r="B12" s="1299">
        <f>+B13</f>
        <v>0</v>
      </c>
      <c r="C12" s="1299"/>
      <c r="D12" s="1299"/>
      <c r="E12" s="1300">
        <f>+E13</f>
        <v>0</v>
      </c>
      <c r="F12" s="1300"/>
      <c r="G12" s="1300"/>
      <c r="H12" s="1300"/>
      <c r="I12" s="1301">
        <f>+I13</f>
        <v>0</v>
      </c>
      <c r="J12" s="1301"/>
      <c r="K12" s="1301"/>
      <c r="L12" s="1301"/>
      <c r="M12" s="816">
        <f>IF(E12&gt;I12,1,0)</f>
        <v>0</v>
      </c>
      <c r="N12" s="817"/>
      <c r="O12" s="817"/>
      <c r="P12" s="817"/>
    </row>
    <row r="13" spans="1:16" s="818" customFormat="1" ht="11.25" customHeight="1">
      <c r="A13" s="820" t="s">
        <v>1032</v>
      </c>
      <c r="B13" s="1290">
        <v>0</v>
      </c>
      <c r="C13" s="1290"/>
      <c r="D13" s="1290"/>
      <c r="E13" s="1291">
        <v>0</v>
      </c>
      <c r="F13" s="1291"/>
      <c r="G13" s="1291"/>
      <c r="H13" s="1291"/>
      <c r="I13" s="1292">
        <v>0</v>
      </c>
      <c r="J13" s="1292"/>
      <c r="K13" s="1292"/>
      <c r="L13" s="1292"/>
      <c r="M13" s="816"/>
      <c r="N13" s="817"/>
      <c r="O13" s="817"/>
      <c r="P13" s="817"/>
    </row>
    <row r="14" spans="1:16" s="818" customFormat="1" ht="11.25" customHeight="1">
      <c r="A14" s="823" t="s">
        <v>1033</v>
      </c>
      <c r="B14" s="1293">
        <f>SUM(B15:D17)</f>
        <v>0</v>
      </c>
      <c r="C14" s="1293"/>
      <c r="D14" s="1293"/>
      <c r="E14" s="1294">
        <f>SUM(E15:H17)</f>
        <v>0</v>
      </c>
      <c r="F14" s="1294"/>
      <c r="G14" s="1294"/>
      <c r="H14" s="1294"/>
      <c r="I14" s="1295">
        <f>SUM(I15:L17)</f>
        <v>0</v>
      </c>
      <c r="J14" s="1295"/>
      <c r="K14" s="1295"/>
      <c r="L14" s="1295"/>
      <c r="M14" s="816">
        <f>IF(E14&gt;I14,1,0)</f>
        <v>0</v>
      </c>
      <c r="N14" s="817"/>
      <c r="O14" s="817"/>
      <c r="P14" s="817"/>
    </row>
    <row r="15" spans="1:16" s="818" customFormat="1" ht="11.25" customHeight="1">
      <c r="A15" s="824" t="s">
        <v>1034</v>
      </c>
      <c r="B15" s="1290">
        <v>0</v>
      </c>
      <c r="C15" s="1290"/>
      <c r="D15" s="1290"/>
      <c r="E15" s="1296">
        <v>0</v>
      </c>
      <c r="F15" s="1296"/>
      <c r="G15" s="1296"/>
      <c r="H15" s="1296"/>
      <c r="I15" s="1292">
        <v>0</v>
      </c>
      <c r="J15" s="1292"/>
      <c r="K15" s="1292"/>
      <c r="L15" s="1292"/>
      <c r="M15" s="816"/>
      <c r="N15" s="817"/>
      <c r="O15" s="817"/>
      <c r="P15" s="817"/>
    </row>
    <row r="16" spans="1:16" s="818" customFormat="1" ht="11.25" customHeight="1">
      <c r="A16" s="824" t="s">
        <v>1035</v>
      </c>
      <c r="B16" s="1290">
        <v>0</v>
      </c>
      <c r="C16" s="1290"/>
      <c r="D16" s="1290"/>
      <c r="E16" s="1296">
        <v>0</v>
      </c>
      <c r="F16" s="1296"/>
      <c r="G16" s="1296"/>
      <c r="H16" s="1296"/>
      <c r="I16" s="1292">
        <v>0</v>
      </c>
      <c r="J16" s="1292"/>
      <c r="K16" s="1292"/>
      <c r="L16" s="1292"/>
      <c r="M16" s="816"/>
      <c r="N16" s="817"/>
      <c r="O16" s="817"/>
      <c r="P16" s="817"/>
    </row>
    <row r="17" spans="1:16" s="818" customFormat="1" ht="11.25" customHeight="1">
      <c r="A17" s="826" t="s">
        <v>1036</v>
      </c>
      <c r="B17" s="1297">
        <v>0</v>
      </c>
      <c r="C17" s="1297"/>
      <c r="D17" s="1297"/>
      <c r="E17" s="1291">
        <v>0</v>
      </c>
      <c r="F17" s="1291"/>
      <c r="G17" s="1291"/>
      <c r="H17" s="1291"/>
      <c r="I17" s="1298">
        <v>0</v>
      </c>
      <c r="J17" s="1298"/>
      <c r="K17" s="1298"/>
      <c r="L17" s="1298"/>
      <c r="M17" s="816"/>
      <c r="N17" s="817"/>
      <c r="O17" s="817"/>
      <c r="P17" s="817"/>
    </row>
    <row r="18" spans="1:16" s="818" customFormat="1" ht="11.25" customHeight="1">
      <c r="A18" s="823" t="s">
        <v>1037</v>
      </c>
      <c r="B18" s="1293">
        <f>SUM(B19:D22)</f>
        <v>0</v>
      </c>
      <c r="C18" s="1293"/>
      <c r="D18" s="1293"/>
      <c r="E18" s="1294">
        <f>SUM(E19:H22)</f>
        <v>0</v>
      </c>
      <c r="F18" s="1294"/>
      <c r="G18" s="1294"/>
      <c r="H18" s="1294"/>
      <c r="I18" s="1295">
        <f>SUM(I19:L22)</f>
        <v>0</v>
      </c>
      <c r="J18" s="1295"/>
      <c r="K18" s="1295"/>
      <c r="L18" s="1295"/>
      <c r="M18" s="816">
        <f>IF(E18&gt;I18,1,0)</f>
        <v>0</v>
      </c>
      <c r="N18" s="817"/>
      <c r="O18" s="817"/>
      <c r="P18" s="817"/>
    </row>
    <row r="19" spans="1:16" s="818" customFormat="1" ht="11.25" customHeight="1">
      <c r="A19" s="824" t="s">
        <v>1038</v>
      </c>
      <c r="B19" s="1290"/>
      <c r="C19" s="1290"/>
      <c r="D19" s="1290"/>
      <c r="E19" s="1296"/>
      <c r="F19" s="1296"/>
      <c r="G19" s="1296"/>
      <c r="H19" s="1296"/>
      <c r="I19" s="1292"/>
      <c r="J19" s="1292"/>
      <c r="K19" s="1292"/>
      <c r="L19" s="1292"/>
      <c r="M19" s="816"/>
      <c r="N19" s="817"/>
      <c r="O19" s="817"/>
      <c r="P19" s="817"/>
    </row>
    <row r="20" spans="1:16" s="818" customFormat="1" ht="11.25" customHeight="1">
      <c r="A20" s="824" t="s">
        <v>1039</v>
      </c>
      <c r="B20" s="821"/>
      <c r="C20" s="821"/>
      <c r="D20" s="821"/>
      <c r="E20" s="825"/>
      <c r="F20" s="825"/>
      <c r="G20" s="825"/>
      <c r="H20" s="825"/>
      <c r="I20" s="822"/>
      <c r="J20" s="822"/>
      <c r="K20" s="822"/>
      <c r="L20" s="822"/>
      <c r="M20" s="816"/>
      <c r="N20" s="817"/>
      <c r="O20" s="817"/>
      <c r="P20" s="817"/>
    </row>
    <row r="21" spans="1:16" s="818" customFormat="1" ht="11.25" customHeight="1">
      <c r="A21" s="824" t="s">
        <v>1040</v>
      </c>
      <c r="B21" s="1288"/>
      <c r="C21" s="1288"/>
      <c r="D21" s="1288"/>
      <c r="E21" s="1288"/>
      <c r="F21" s="1288"/>
      <c r="G21" s="1288"/>
      <c r="H21" s="1288"/>
      <c r="I21" s="1289"/>
      <c r="J21" s="1289"/>
      <c r="K21" s="1289"/>
      <c r="L21" s="1289"/>
      <c r="M21" s="816"/>
      <c r="N21" s="817"/>
      <c r="O21" s="817"/>
      <c r="P21" s="817"/>
    </row>
    <row r="22" spans="1:16" s="818" customFormat="1" ht="11.25" customHeight="1">
      <c r="A22" s="826" t="s">
        <v>1041</v>
      </c>
      <c r="B22" s="1290"/>
      <c r="C22" s="1290"/>
      <c r="D22" s="1290"/>
      <c r="E22" s="1291"/>
      <c r="F22" s="1291"/>
      <c r="G22" s="1291"/>
      <c r="H22" s="1291"/>
      <c r="I22" s="1292"/>
      <c r="J22" s="1292"/>
      <c r="K22" s="1292"/>
      <c r="L22" s="1292"/>
      <c r="M22" s="816"/>
      <c r="N22" s="817"/>
      <c r="O22" s="817"/>
      <c r="P22" s="817"/>
    </row>
    <row r="23" spans="1:12" ht="3" customHeight="1">
      <c r="A23" s="1287"/>
      <c r="B23" s="1287"/>
      <c r="C23" s="1287"/>
      <c r="D23" s="1287"/>
      <c r="E23" s="1287"/>
      <c r="F23" s="1287"/>
      <c r="G23" s="1287"/>
      <c r="H23" s="1287"/>
      <c r="I23" s="1287"/>
      <c r="J23" s="1287"/>
      <c r="K23" s="1287"/>
      <c r="L23" s="1287"/>
    </row>
    <row r="24" spans="1:16" s="830" customFormat="1" ht="11.25" customHeight="1">
      <c r="A24" s="827"/>
      <c r="B24" s="1283" t="s">
        <v>1042</v>
      </c>
      <c r="C24" s="1283" t="s">
        <v>1043</v>
      </c>
      <c r="D24" s="1283">
        <f>+C26+1</f>
        <v>2020</v>
      </c>
      <c r="E24" s="1283">
        <f aca="true" t="shared" si="0" ref="E24:L24">+D24+1</f>
        <v>2021</v>
      </c>
      <c r="F24" s="1283">
        <f t="shared" si="0"/>
        <v>2022</v>
      </c>
      <c r="G24" s="1283">
        <f t="shared" si="0"/>
        <v>2023</v>
      </c>
      <c r="H24" s="1283">
        <f t="shared" si="0"/>
        <v>2024</v>
      </c>
      <c r="I24" s="1283">
        <f t="shared" si="0"/>
        <v>2025</v>
      </c>
      <c r="J24" s="1283">
        <f t="shared" si="0"/>
        <v>2026</v>
      </c>
      <c r="K24" s="1283">
        <f t="shared" si="0"/>
        <v>2027</v>
      </c>
      <c r="L24" s="1283">
        <f t="shared" si="0"/>
        <v>2028</v>
      </c>
      <c r="M24" s="828"/>
      <c r="N24" s="829"/>
      <c r="O24" s="829"/>
      <c r="P24" s="829"/>
    </row>
    <row r="25" spans="1:13" ht="11.25" customHeight="1">
      <c r="A25" s="831" t="s">
        <v>1044</v>
      </c>
      <c r="B25" s="1283"/>
      <c r="C25" s="1283"/>
      <c r="D25" s="1283"/>
      <c r="E25" s="1283"/>
      <c r="F25" s="1283"/>
      <c r="G25" s="1283"/>
      <c r="H25" s="1283"/>
      <c r="I25" s="1283"/>
      <c r="J25" s="1283"/>
      <c r="K25" s="1283"/>
      <c r="L25" s="1283"/>
      <c r="M25" s="828"/>
    </row>
    <row r="26" spans="1:13" ht="14.25" customHeight="1">
      <c r="A26" s="832"/>
      <c r="B26" s="1283"/>
      <c r="C26" s="833" t="str">
        <f>+J10</f>
        <v>2019</v>
      </c>
      <c r="D26" s="1283"/>
      <c r="E26" s="1283"/>
      <c r="F26" s="1283"/>
      <c r="G26" s="1283"/>
      <c r="H26" s="1283"/>
      <c r="I26" s="1283"/>
      <c r="J26" s="1283"/>
      <c r="K26" s="1283"/>
      <c r="L26" s="1283"/>
      <c r="M26" s="828"/>
    </row>
    <row r="27" spans="1:13" ht="11.25" customHeight="1">
      <c r="A27" s="811" t="s">
        <v>1045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5"/>
      <c r="L27" s="834"/>
      <c r="M27" s="836"/>
    </row>
    <row r="28" spans="1:13" ht="11.25" customHeight="1">
      <c r="A28" s="811" t="s">
        <v>1046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5"/>
      <c r="L28" s="834"/>
      <c r="M28" s="836"/>
    </row>
    <row r="29" spans="1:13" ht="11.25" customHeight="1">
      <c r="A29" s="811" t="s">
        <v>1046</v>
      </c>
      <c r="B29" s="834"/>
      <c r="C29" s="834"/>
      <c r="D29" s="834"/>
      <c r="E29" s="834"/>
      <c r="F29" s="834"/>
      <c r="G29" s="834"/>
      <c r="H29" s="834"/>
      <c r="I29" s="834"/>
      <c r="J29" s="834"/>
      <c r="K29" s="835"/>
      <c r="L29" s="834"/>
      <c r="M29" s="836"/>
    </row>
    <row r="30" spans="1:13" ht="11.25" customHeight="1">
      <c r="A30" s="811" t="s">
        <v>1047</v>
      </c>
      <c r="B30" s="834"/>
      <c r="C30" s="834"/>
      <c r="D30" s="834"/>
      <c r="E30" s="834"/>
      <c r="F30" s="834"/>
      <c r="G30" s="834"/>
      <c r="H30" s="834"/>
      <c r="I30" s="834"/>
      <c r="J30" s="834"/>
      <c r="K30" s="835"/>
      <c r="L30" s="834"/>
      <c r="M30" s="836"/>
    </row>
    <row r="31" spans="1:13" ht="11.25" customHeight="1">
      <c r="A31" s="811" t="s">
        <v>1046</v>
      </c>
      <c r="B31" s="834"/>
      <c r="C31" s="834"/>
      <c r="D31" s="834"/>
      <c r="E31" s="834"/>
      <c r="F31" s="834"/>
      <c r="G31" s="834"/>
      <c r="H31" s="834"/>
      <c r="I31" s="834"/>
      <c r="J31" s="834"/>
      <c r="K31" s="835"/>
      <c r="L31" s="834"/>
      <c r="M31" s="836"/>
    </row>
    <row r="32" spans="1:13" ht="11.25" customHeight="1">
      <c r="A32" s="811" t="s">
        <v>1046</v>
      </c>
      <c r="B32" s="834"/>
      <c r="C32" s="834"/>
      <c r="D32" s="834"/>
      <c r="E32" s="834"/>
      <c r="F32" s="834"/>
      <c r="G32" s="834"/>
      <c r="H32" s="834"/>
      <c r="I32" s="834"/>
      <c r="J32" s="834"/>
      <c r="K32" s="835"/>
      <c r="L32" s="834"/>
      <c r="M32" s="836"/>
    </row>
    <row r="33" spans="1:13" ht="11.25" customHeight="1">
      <c r="A33" s="820" t="s">
        <v>1048</v>
      </c>
      <c r="B33" s="837">
        <f aca="true" t="shared" si="1" ref="B33:L33">+B30+B27</f>
        <v>0</v>
      </c>
      <c r="C33" s="837">
        <f t="shared" si="1"/>
        <v>0</v>
      </c>
      <c r="D33" s="837">
        <f t="shared" si="1"/>
        <v>0</v>
      </c>
      <c r="E33" s="837">
        <f t="shared" si="1"/>
        <v>0</v>
      </c>
      <c r="F33" s="837">
        <f t="shared" si="1"/>
        <v>0</v>
      </c>
      <c r="G33" s="837">
        <f t="shared" si="1"/>
        <v>0</v>
      </c>
      <c r="H33" s="837">
        <f t="shared" si="1"/>
        <v>0</v>
      </c>
      <c r="I33" s="837">
        <f t="shared" si="1"/>
        <v>0</v>
      </c>
      <c r="J33" s="837">
        <f t="shared" si="1"/>
        <v>0</v>
      </c>
      <c r="K33" s="837">
        <f t="shared" si="1"/>
        <v>0</v>
      </c>
      <c r="L33" s="837">
        <f t="shared" si="1"/>
        <v>0</v>
      </c>
      <c r="M33" s="836"/>
    </row>
    <row r="34" spans="1:13" ht="11.25" customHeight="1">
      <c r="A34" s="820" t="s">
        <v>1049</v>
      </c>
      <c r="B34" s="834">
        <v>0</v>
      </c>
      <c r="C34" s="834">
        <v>0</v>
      </c>
      <c r="D34" s="834">
        <v>0</v>
      </c>
      <c r="E34" s="834">
        <v>0</v>
      </c>
      <c r="F34" s="834">
        <v>0</v>
      </c>
      <c r="G34" s="834">
        <v>0</v>
      </c>
      <c r="H34" s="834">
        <v>0</v>
      </c>
      <c r="I34" s="834">
        <v>0</v>
      </c>
      <c r="J34" s="834">
        <v>0</v>
      </c>
      <c r="K34" s="835">
        <v>0</v>
      </c>
      <c r="L34" s="834">
        <v>0</v>
      </c>
      <c r="M34" s="836"/>
    </row>
    <row r="35" spans="1:13" ht="11.25" customHeight="1">
      <c r="A35" s="838" t="s">
        <v>1050</v>
      </c>
      <c r="B35" s="839">
        <v>0</v>
      </c>
      <c r="C35" s="837">
        <f>IF(M35&gt;0,M35,0)</f>
        <v>20627759</v>
      </c>
      <c r="D35" s="839">
        <v>0</v>
      </c>
      <c r="E35" s="839">
        <v>0</v>
      </c>
      <c r="F35" s="839">
        <v>0</v>
      </c>
      <c r="G35" s="839">
        <v>0</v>
      </c>
      <c r="H35" s="839">
        <v>0</v>
      </c>
      <c r="I35" s="839">
        <v>0</v>
      </c>
      <c r="J35" s="839">
        <v>0</v>
      </c>
      <c r="K35" s="840">
        <v>0</v>
      </c>
      <c r="L35" s="839">
        <v>0</v>
      </c>
      <c r="M35" s="841">
        <f>+'Anexo 3 - RCL'!N41</f>
        <v>20627759</v>
      </c>
    </row>
    <row r="36" spans="1:13" ht="11.25" customHeight="1">
      <c r="A36" s="811" t="s">
        <v>1051</v>
      </c>
      <c r="B36" s="837">
        <f aca="true" t="shared" si="2" ref="B36:L36">+B27+B34</f>
        <v>0</v>
      </c>
      <c r="C36" s="837">
        <f t="shared" si="2"/>
        <v>0</v>
      </c>
      <c r="D36" s="837">
        <f t="shared" si="2"/>
        <v>0</v>
      </c>
      <c r="E36" s="837">
        <f t="shared" si="2"/>
        <v>0</v>
      </c>
      <c r="F36" s="837">
        <f t="shared" si="2"/>
        <v>0</v>
      </c>
      <c r="G36" s="837">
        <f t="shared" si="2"/>
        <v>0</v>
      </c>
      <c r="H36" s="837">
        <f t="shared" si="2"/>
        <v>0</v>
      </c>
      <c r="I36" s="837">
        <f t="shared" si="2"/>
        <v>0</v>
      </c>
      <c r="J36" s="837">
        <f t="shared" si="2"/>
        <v>0</v>
      </c>
      <c r="K36" s="837">
        <f t="shared" si="2"/>
        <v>0</v>
      </c>
      <c r="L36" s="837">
        <f t="shared" si="2"/>
        <v>0</v>
      </c>
      <c r="M36" s="836"/>
    </row>
    <row r="37" spans="1:13" ht="11.25" customHeight="1">
      <c r="A37" s="842" t="s">
        <v>1052</v>
      </c>
      <c r="B37" s="843">
        <f aca="true" t="shared" si="3" ref="B37:L37">IF(B35="",0,IF(B35=0,0,+B36/B35))</f>
        <v>0</v>
      </c>
      <c r="C37" s="843">
        <f t="shared" si="3"/>
        <v>0</v>
      </c>
      <c r="D37" s="843">
        <f t="shared" si="3"/>
        <v>0</v>
      </c>
      <c r="E37" s="843">
        <f t="shared" si="3"/>
        <v>0</v>
      </c>
      <c r="F37" s="843">
        <f t="shared" si="3"/>
        <v>0</v>
      </c>
      <c r="G37" s="843">
        <f t="shared" si="3"/>
        <v>0</v>
      </c>
      <c r="H37" s="843">
        <f t="shared" si="3"/>
        <v>0</v>
      </c>
      <c r="I37" s="843">
        <f t="shared" si="3"/>
        <v>0</v>
      </c>
      <c r="J37" s="843">
        <f t="shared" si="3"/>
        <v>0</v>
      </c>
      <c r="K37" s="843">
        <f t="shared" si="3"/>
        <v>0</v>
      </c>
      <c r="L37" s="843">
        <f t="shared" si="3"/>
        <v>0</v>
      </c>
      <c r="M37" s="836"/>
    </row>
    <row r="38" spans="1:16" s="846" customFormat="1" ht="11.25" customHeight="1">
      <c r="A38" s="1284" t="s">
        <v>631</v>
      </c>
      <c r="B38" s="1284"/>
      <c r="C38" s="1284"/>
      <c r="D38" s="1284"/>
      <c r="E38" s="1284"/>
      <c r="F38" s="1284"/>
      <c r="G38" s="1284"/>
      <c r="H38" s="1284"/>
      <c r="I38" s="1284"/>
      <c r="J38" s="1284"/>
      <c r="K38" s="1284"/>
      <c r="L38" s="1284"/>
      <c r="M38" s="844"/>
      <c r="N38" s="845"/>
      <c r="O38" s="845"/>
      <c r="P38" s="845"/>
    </row>
    <row r="39" spans="1:13" ht="31.5" customHeight="1">
      <c r="A39" s="1285" t="s">
        <v>153</v>
      </c>
      <c r="B39" s="1285"/>
      <c r="C39" s="1285"/>
      <c r="D39" s="1285"/>
      <c r="E39" s="1285"/>
      <c r="F39" s="1285"/>
      <c r="G39" s="1285"/>
      <c r="H39" s="1285"/>
      <c r="I39" s="1285"/>
      <c r="J39" s="1285"/>
      <c r="K39" s="1285"/>
      <c r="L39" s="1285"/>
      <c r="M39" s="847"/>
    </row>
    <row r="40" spans="1:12" ht="20.25" customHeight="1">
      <c r="A40" s="1286" t="s">
        <v>1053</v>
      </c>
      <c r="B40" s="1286"/>
      <c r="C40" s="1286"/>
      <c r="D40" s="1286"/>
      <c r="E40" s="1286"/>
      <c r="F40" s="1286"/>
      <c r="G40" s="1286"/>
      <c r="H40" s="1286"/>
      <c r="I40" s="1286"/>
      <c r="J40" s="1286"/>
      <c r="K40" s="1286"/>
      <c r="L40" s="1286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2:L22"/>
    <mergeCell ref="B18:D18"/>
    <mergeCell ref="E18:H18"/>
    <mergeCell ref="I18:L18"/>
    <mergeCell ref="B19:D19"/>
    <mergeCell ref="E19:H19"/>
    <mergeCell ref="I19:L19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zoomScalePageLayoutView="0" workbookViewId="0" topLeftCell="A1">
      <selection activeCell="A13" sqref="A13"/>
    </sheetView>
  </sheetViews>
  <sheetFormatPr defaultColWidth="0.5625" defaultRowHeight="11.25" customHeight="1"/>
  <cols>
    <col min="1" max="1" width="84.28125" style="568" customWidth="1"/>
    <col min="2" max="2" width="16.00390625" style="568" customWidth="1"/>
    <col min="3" max="3" width="16.00390625" style="848" customWidth="1"/>
    <col min="4" max="5" width="16.00390625" style="568" customWidth="1"/>
    <col min="6" max="59" width="15.28125" style="568" customWidth="1"/>
    <col min="60" max="16384" width="0.5625" style="568" customWidth="1"/>
  </cols>
  <sheetData>
    <row r="1" spans="1:5" ht="15.75" customHeight="1">
      <c r="A1" s="1334" t="s">
        <v>1054</v>
      </c>
      <c r="B1" s="1334"/>
      <c r="C1" s="1334"/>
      <c r="D1" s="1334"/>
      <c r="E1" s="1334"/>
    </row>
    <row r="2" ht="11.25" customHeight="1">
      <c r="A2" s="849"/>
    </row>
    <row r="3" spans="1:5" ht="11.25" customHeight="1">
      <c r="A3" s="1205" t="str">
        <f>+'Informações Iniciais'!A1</f>
        <v>MUNICÍPIO DE RIBAMAR FIQUENE - PODER EXECUTIVO</v>
      </c>
      <c r="B3" s="1205"/>
      <c r="C3" s="1205"/>
      <c r="D3" s="1205"/>
      <c r="E3" s="1205"/>
    </row>
    <row r="4" spans="1:5" ht="11.25" customHeight="1">
      <c r="A4" s="1206" t="s">
        <v>1055</v>
      </c>
      <c r="B4" s="1206"/>
      <c r="C4" s="1206"/>
      <c r="D4" s="1206"/>
      <c r="E4" s="1206"/>
    </row>
    <row r="5" spans="1:5" ht="11.25" customHeight="1">
      <c r="A5" s="1205" t="s">
        <v>29</v>
      </c>
      <c r="B5" s="1205"/>
      <c r="C5" s="1205"/>
      <c r="D5" s="1205"/>
      <c r="E5" s="1205"/>
    </row>
    <row r="6" spans="1:5" ht="11.25" customHeight="1">
      <c r="A6" s="1205" t="str">
        <f>+'Informações Iniciais'!A5</f>
        <v>3º Bimestre de 2020</v>
      </c>
      <c r="B6" s="1205"/>
      <c r="C6" s="1205"/>
      <c r="D6" s="1205"/>
      <c r="E6" s="1205"/>
    </row>
    <row r="7" spans="1:5" ht="11.25" customHeight="1">
      <c r="A7" s="850"/>
      <c r="B7" s="850"/>
      <c r="C7" s="850"/>
      <c r="D7" s="850"/>
      <c r="E7" s="850"/>
    </row>
    <row r="8" spans="1:5" ht="11.25" customHeight="1">
      <c r="A8" s="568" t="s">
        <v>1056</v>
      </c>
      <c r="E8" s="851" t="s">
        <v>31</v>
      </c>
    </row>
    <row r="9" spans="1:5" s="854" customFormat="1" ht="21" customHeight="1">
      <c r="A9" s="852" t="s">
        <v>28</v>
      </c>
      <c r="B9" s="1315" t="s">
        <v>39</v>
      </c>
      <c r="C9" s="1315"/>
      <c r="D9" s="1315"/>
      <c r="E9" s="1315"/>
    </row>
    <row r="10" spans="1:5" ht="11.25" customHeight="1">
      <c r="A10" s="855" t="s">
        <v>32</v>
      </c>
      <c r="B10" s="1200"/>
      <c r="C10" s="1200"/>
      <c r="D10" s="1200"/>
      <c r="E10" s="1200"/>
    </row>
    <row r="11" spans="1:5" ht="11.25" customHeight="1">
      <c r="A11" s="856" t="s">
        <v>1057</v>
      </c>
      <c r="B11" s="1325">
        <v>37959000</v>
      </c>
      <c r="C11" s="1325"/>
      <c r="D11" s="1325"/>
      <c r="E11" s="1325"/>
    </row>
    <row r="12" spans="1:5" ht="11.25" customHeight="1">
      <c r="A12" s="856" t="s">
        <v>1058</v>
      </c>
      <c r="B12" s="1325">
        <v>37959000</v>
      </c>
      <c r="C12" s="1325"/>
      <c r="D12" s="1325"/>
      <c r="E12" s="1325"/>
    </row>
    <row r="13" spans="1:5" ht="11.25" customHeight="1">
      <c r="A13" s="856" t="s">
        <v>1059</v>
      </c>
      <c r="B13" s="1325">
        <v>10181148.61</v>
      </c>
      <c r="C13" s="1325"/>
      <c r="D13" s="1325"/>
      <c r="E13" s="1325"/>
    </row>
    <row r="14" spans="1:5" ht="11.25" customHeight="1">
      <c r="A14" s="856" t="s">
        <v>1060</v>
      </c>
      <c r="B14" s="1195">
        <v>0</v>
      </c>
      <c r="C14" s="1195"/>
      <c r="D14" s="1195"/>
      <c r="E14" s="1195"/>
    </row>
    <row r="15" spans="1:5" ht="11.25" customHeight="1">
      <c r="A15" s="856" t="s">
        <v>1061</v>
      </c>
      <c r="B15" s="1195">
        <v>0</v>
      </c>
      <c r="C15" s="1195"/>
      <c r="D15" s="1195"/>
      <c r="E15" s="1195"/>
    </row>
    <row r="16" spans="1:5" ht="11.25" customHeight="1">
      <c r="A16" s="855" t="s">
        <v>123</v>
      </c>
      <c r="B16" s="1196"/>
      <c r="C16" s="1196"/>
      <c r="D16" s="1196"/>
      <c r="E16" s="1196"/>
    </row>
    <row r="17" spans="1:5" ht="11.25" customHeight="1">
      <c r="A17" s="857" t="s">
        <v>1062</v>
      </c>
      <c r="B17" s="1325">
        <v>37959000</v>
      </c>
      <c r="C17" s="1325"/>
      <c r="D17" s="1325"/>
      <c r="E17" s="1325"/>
    </row>
    <row r="18" spans="1:5" ht="11.25" customHeight="1">
      <c r="A18" s="857" t="s">
        <v>1063</v>
      </c>
      <c r="B18" s="1325">
        <v>0</v>
      </c>
      <c r="C18" s="1325"/>
      <c r="D18" s="1325"/>
      <c r="E18" s="1325"/>
    </row>
    <row r="19" spans="1:5" ht="11.25" customHeight="1">
      <c r="A19" s="857" t="s">
        <v>1064</v>
      </c>
      <c r="B19" s="1325">
        <v>37959000</v>
      </c>
      <c r="C19" s="1325"/>
      <c r="D19" s="1325"/>
      <c r="E19" s="1325"/>
    </row>
    <row r="20" spans="1:5" ht="11.25" customHeight="1">
      <c r="A20" s="857" t="s">
        <v>1065</v>
      </c>
      <c r="B20" s="1325">
        <v>11812569.56</v>
      </c>
      <c r="C20" s="1325"/>
      <c r="D20" s="1325"/>
      <c r="E20" s="1325"/>
    </row>
    <row r="21" spans="1:5" ht="11.25" customHeight="1">
      <c r="A21" s="856" t="s">
        <v>1066</v>
      </c>
      <c r="B21" s="1333">
        <v>8756997.36</v>
      </c>
      <c r="C21" s="1333"/>
      <c r="D21" s="1333"/>
      <c r="E21" s="1333"/>
    </row>
    <row r="22" spans="1:5" ht="11.25" customHeight="1">
      <c r="A22" s="857" t="s">
        <v>1067</v>
      </c>
      <c r="B22" s="1330">
        <v>0</v>
      </c>
      <c r="C22" s="1330"/>
      <c r="D22" s="1330"/>
      <c r="E22" s="1330"/>
    </row>
    <row r="23" spans="1:5" ht="11.25" customHeight="1">
      <c r="A23" s="571" t="s">
        <v>1068</v>
      </c>
      <c r="B23" s="1331">
        <v>1424151.25</v>
      </c>
      <c r="C23" s="1331"/>
      <c r="D23" s="1331"/>
      <c r="E23" s="1331"/>
    </row>
    <row r="24" spans="1:5" s="854" customFormat="1" ht="21" customHeight="1">
      <c r="A24" s="852" t="s">
        <v>1069</v>
      </c>
      <c r="B24" s="1326" t="s">
        <v>39</v>
      </c>
      <c r="C24" s="1326"/>
      <c r="D24" s="1326"/>
      <c r="E24" s="1326"/>
    </row>
    <row r="25" spans="1:5" ht="11.25" customHeight="1">
      <c r="A25" s="857" t="s">
        <v>1070</v>
      </c>
      <c r="B25" s="1332">
        <v>11812569.56</v>
      </c>
      <c r="C25" s="1332"/>
      <c r="D25" s="1332"/>
      <c r="E25" s="1332"/>
    </row>
    <row r="26" spans="1:5" ht="11.25" customHeight="1">
      <c r="A26" s="858" t="s">
        <v>1071</v>
      </c>
      <c r="B26" s="1325">
        <v>8756997.36</v>
      </c>
      <c r="C26" s="1325"/>
      <c r="D26" s="1325"/>
      <c r="E26" s="1325"/>
    </row>
    <row r="27" spans="1:5" s="854" customFormat="1" ht="23.25" customHeight="1">
      <c r="A27" s="859" t="s">
        <v>1072</v>
      </c>
      <c r="B27" s="1324" t="s">
        <v>39</v>
      </c>
      <c r="C27" s="1324"/>
      <c r="D27" s="1324"/>
      <c r="E27" s="1324"/>
    </row>
    <row r="28" spans="1:5" ht="11.25" customHeight="1">
      <c r="A28" s="860" t="s">
        <v>1073</v>
      </c>
      <c r="B28" s="1329">
        <v>20627759</v>
      </c>
      <c r="C28" s="1329"/>
      <c r="D28" s="1329"/>
      <c r="E28" s="1329"/>
    </row>
    <row r="29" spans="1:4" ht="11.25" customHeight="1">
      <c r="A29" s="857"/>
      <c r="B29" s="861"/>
      <c r="C29" s="862"/>
      <c r="D29" s="863"/>
    </row>
    <row r="30" spans="1:5" s="854" customFormat="1" ht="21.75" customHeight="1">
      <c r="A30" s="852" t="s">
        <v>1074</v>
      </c>
      <c r="B30" s="1315" t="s">
        <v>39</v>
      </c>
      <c r="C30" s="1315"/>
      <c r="D30" s="1315"/>
      <c r="E30" s="1315"/>
    </row>
    <row r="31" spans="1:5" s="865" customFormat="1" ht="11.25" customHeight="1">
      <c r="A31" s="864" t="s">
        <v>1075</v>
      </c>
      <c r="B31" s="1195">
        <v>0</v>
      </c>
      <c r="C31" s="1195"/>
      <c r="D31" s="1195"/>
      <c r="E31" s="1195"/>
    </row>
    <row r="32" spans="1:5" ht="11.25" customHeight="1">
      <c r="A32" s="857" t="s">
        <v>1076</v>
      </c>
      <c r="B32" s="1325">
        <v>0</v>
      </c>
      <c r="C32" s="1325"/>
      <c r="D32" s="1325"/>
      <c r="E32" s="1325"/>
    </row>
    <row r="33" spans="1:5" ht="11.25" customHeight="1">
      <c r="A33" s="857" t="s">
        <v>1077</v>
      </c>
      <c r="B33" s="1325">
        <v>0</v>
      </c>
      <c r="C33" s="1325"/>
      <c r="D33" s="1325"/>
      <c r="E33" s="1325"/>
    </row>
    <row r="34" spans="1:5" ht="11.25" customHeight="1">
      <c r="A34" s="857" t="s">
        <v>1078</v>
      </c>
      <c r="B34" s="1196">
        <f>+B32-B33</f>
        <v>0</v>
      </c>
      <c r="C34" s="1196"/>
      <c r="D34" s="1196"/>
      <c r="E34" s="1196"/>
    </row>
    <row r="35" spans="1:5" ht="11.25" customHeight="1">
      <c r="A35" s="864" t="s">
        <v>1079</v>
      </c>
      <c r="B35" s="1195">
        <v>0</v>
      </c>
      <c r="C35" s="1195"/>
      <c r="D35" s="1195"/>
      <c r="E35" s="1195"/>
    </row>
    <row r="36" spans="1:5" ht="11.25" customHeight="1">
      <c r="A36" s="857" t="s">
        <v>1076</v>
      </c>
      <c r="B36" s="1325">
        <v>0</v>
      </c>
      <c r="C36" s="1325"/>
      <c r="D36" s="1325"/>
      <c r="E36" s="1325"/>
    </row>
    <row r="37" spans="1:5" ht="11.25" customHeight="1">
      <c r="A37" s="857" t="s">
        <v>1080</v>
      </c>
      <c r="B37" s="1325">
        <v>0</v>
      </c>
      <c r="C37" s="1325"/>
      <c r="D37" s="1325"/>
      <c r="E37" s="1325"/>
    </row>
    <row r="38" spans="1:5" ht="11.25" customHeight="1">
      <c r="A38" s="571" t="s">
        <v>1078</v>
      </c>
      <c r="B38" s="1192">
        <f>+B36-B37</f>
        <v>0</v>
      </c>
      <c r="C38" s="1192"/>
      <c r="D38" s="1192"/>
      <c r="E38" s="1192"/>
    </row>
    <row r="39" ht="11.25" customHeight="1">
      <c r="E39" s="857"/>
    </row>
    <row r="40" spans="1:5" ht="11.25" customHeight="1">
      <c r="A40" s="1324" t="s">
        <v>1081</v>
      </c>
      <c r="B40" s="866" t="s">
        <v>1082</v>
      </c>
      <c r="C40" s="866" t="s">
        <v>1083</v>
      </c>
      <c r="D40" s="1326" t="s">
        <v>1084</v>
      </c>
      <c r="E40" s="1326"/>
    </row>
    <row r="41" spans="1:5" ht="11.25" customHeight="1">
      <c r="A41" s="1324"/>
      <c r="B41" s="867" t="s">
        <v>1085</v>
      </c>
      <c r="C41" s="1327" t="s">
        <v>39</v>
      </c>
      <c r="D41" s="1326"/>
      <c r="E41" s="1326"/>
    </row>
    <row r="42" spans="1:5" ht="11.25" customHeight="1">
      <c r="A42" s="1324"/>
      <c r="B42" s="867" t="s">
        <v>1086</v>
      </c>
      <c r="C42" s="1327"/>
      <c r="D42" s="1326"/>
      <c r="E42" s="1326"/>
    </row>
    <row r="43" spans="1:5" ht="11.25" customHeight="1">
      <c r="A43" s="1324"/>
      <c r="B43" s="868" t="s">
        <v>40</v>
      </c>
      <c r="C43" s="868" t="s">
        <v>41</v>
      </c>
      <c r="D43" s="1328" t="s">
        <v>42</v>
      </c>
      <c r="E43" s="1328"/>
    </row>
    <row r="44" spans="1:5" ht="11.25" customHeight="1">
      <c r="A44" s="856" t="s">
        <v>1087</v>
      </c>
      <c r="B44" s="869">
        <v>2247354.15</v>
      </c>
      <c r="C44" s="870">
        <v>-9488353.94</v>
      </c>
      <c r="D44" s="1322">
        <f>IF(B44="",0,IF(B44=0,0,+C44/B44))</f>
        <v>-4.222010999023007</v>
      </c>
      <c r="E44" s="1322"/>
    </row>
    <row r="45" spans="1:5" ht="11.25" customHeight="1">
      <c r="A45" s="858" t="s">
        <v>1088</v>
      </c>
      <c r="B45" s="871">
        <v>-13087400</v>
      </c>
      <c r="C45" s="872">
        <v>9533987.02</v>
      </c>
      <c r="D45" s="1323">
        <f>IF(B45="",0,IF(B45=0,0,+C45/B45))</f>
        <v>-0.7284859498448889</v>
      </c>
      <c r="E45" s="1323"/>
    </row>
    <row r="47" spans="1:5" ht="11.25" customHeight="1">
      <c r="A47" s="1324" t="s">
        <v>1089</v>
      </c>
      <c r="B47" s="1315" t="s">
        <v>1090</v>
      </c>
      <c r="C47" s="866" t="s">
        <v>1091</v>
      </c>
      <c r="D47" s="873" t="s">
        <v>1092</v>
      </c>
      <c r="E47" s="866" t="s">
        <v>1093</v>
      </c>
    </row>
    <row r="48" spans="1:5" ht="11.25" customHeight="1">
      <c r="A48" s="1324"/>
      <c r="B48" s="1315"/>
      <c r="C48" s="868" t="s">
        <v>39</v>
      </c>
      <c r="D48" s="874" t="s">
        <v>39</v>
      </c>
      <c r="E48" s="868" t="s">
        <v>1094</v>
      </c>
    </row>
    <row r="49" spans="1:5" ht="11.25" customHeight="1">
      <c r="A49" s="856" t="s">
        <v>1095</v>
      </c>
      <c r="B49" s="875">
        <f>SUM(B50:B54)</f>
        <v>1639325.92</v>
      </c>
      <c r="C49" s="875">
        <f>SUM(C50:C54)</f>
        <v>0</v>
      </c>
      <c r="D49" s="875">
        <f>SUM(D50:D54)</f>
        <v>159090.13</v>
      </c>
      <c r="E49" s="875">
        <f>SUM(E50:E54)</f>
        <v>1480235.79</v>
      </c>
    </row>
    <row r="50" spans="1:5" ht="11.25" customHeight="1">
      <c r="A50" s="856" t="s">
        <v>1096</v>
      </c>
      <c r="B50" s="869">
        <v>1639325.92</v>
      </c>
      <c r="C50" s="869">
        <v>0</v>
      </c>
      <c r="D50" s="869">
        <v>159090.13</v>
      </c>
      <c r="E50" s="876">
        <v>1480235.79</v>
      </c>
    </row>
    <row r="51" spans="1:5" ht="11.25" customHeight="1">
      <c r="A51" s="856" t="s">
        <v>1097</v>
      </c>
      <c r="B51" s="877">
        <v>0</v>
      </c>
      <c r="C51" s="877">
        <v>0</v>
      </c>
      <c r="D51" s="877">
        <v>0</v>
      </c>
      <c r="E51" s="877">
        <v>0</v>
      </c>
    </row>
    <row r="52" spans="1:5" ht="11.25" customHeight="1">
      <c r="A52" s="856" t="s">
        <v>1098</v>
      </c>
      <c r="B52" s="877">
        <v>0</v>
      </c>
      <c r="C52" s="877">
        <v>0</v>
      </c>
      <c r="D52" s="877">
        <v>0</v>
      </c>
      <c r="E52" s="877">
        <v>0</v>
      </c>
    </row>
    <row r="53" spans="1:5" ht="11.25" customHeight="1">
      <c r="A53" s="856" t="s">
        <v>1099</v>
      </c>
      <c r="B53" s="877">
        <v>0</v>
      </c>
      <c r="C53" s="877">
        <v>0</v>
      </c>
      <c r="D53" s="877">
        <v>0</v>
      </c>
      <c r="E53" s="877">
        <v>0</v>
      </c>
    </row>
    <row r="54" spans="1:5" ht="11.25" customHeight="1">
      <c r="A54" s="856" t="s">
        <v>1100</v>
      </c>
      <c r="B54" s="877">
        <v>0</v>
      </c>
      <c r="C54" s="877">
        <v>0</v>
      </c>
      <c r="D54" s="877">
        <v>0</v>
      </c>
      <c r="E54" s="877">
        <v>0</v>
      </c>
    </row>
    <row r="55" spans="1:5" ht="11.25" customHeight="1">
      <c r="A55" s="856" t="s">
        <v>1101</v>
      </c>
      <c r="B55" s="875">
        <f>SUM(B56:B60)</f>
        <v>4512958.67</v>
      </c>
      <c r="C55" s="875">
        <f>SUM(C56:C60)</f>
        <v>0</v>
      </c>
      <c r="D55" s="875">
        <f>SUM(D56:D60)</f>
        <v>481129.37</v>
      </c>
      <c r="E55" s="875">
        <f>SUM(E56:E60)</f>
        <v>4031829.3</v>
      </c>
    </row>
    <row r="56" spans="1:5" ht="11.25" customHeight="1">
      <c r="A56" s="856" t="s">
        <v>1096</v>
      </c>
      <c r="B56" s="869">
        <v>4512958.67</v>
      </c>
      <c r="C56" s="870">
        <v>0</v>
      </c>
      <c r="D56" s="870">
        <v>481129.37</v>
      </c>
      <c r="E56" s="876">
        <v>4031829.3</v>
      </c>
    </row>
    <row r="57" spans="1:5" ht="11.25" customHeight="1">
      <c r="A57" s="856" t="s">
        <v>1097</v>
      </c>
      <c r="B57" s="877">
        <v>0</v>
      </c>
      <c r="C57" s="625">
        <v>0</v>
      </c>
      <c r="D57" s="625">
        <v>0</v>
      </c>
      <c r="E57" s="876">
        <v>0</v>
      </c>
    </row>
    <row r="58" spans="1:5" ht="11.25" customHeight="1">
      <c r="A58" s="856" t="s">
        <v>1098</v>
      </c>
      <c r="B58" s="877">
        <v>0</v>
      </c>
      <c r="C58" s="625">
        <v>0</v>
      </c>
      <c r="D58" s="625">
        <v>0</v>
      </c>
      <c r="E58" s="876">
        <v>0</v>
      </c>
    </row>
    <row r="59" spans="1:5" ht="11.25" customHeight="1">
      <c r="A59" s="856" t="s">
        <v>1099</v>
      </c>
      <c r="B59" s="877">
        <v>0</v>
      </c>
      <c r="C59" s="625">
        <v>0</v>
      </c>
      <c r="D59" s="870">
        <v>0</v>
      </c>
      <c r="E59" s="878">
        <v>0</v>
      </c>
    </row>
    <row r="60" spans="1:59" ht="11.25" customHeight="1">
      <c r="A60" s="856" t="s">
        <v>1100</v>
      </c>
      <c r="B60" s="877">
        <v>0</v>
      </c>
      <c r="C60" s="625">
        <v>0</v>
      </c>
      <c r="D60" s="870">
        <v>0</v>
      </c>
      <c r="E60" s="878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9" t="s">
        <v>1000</v>
      </c>
      <c r="B61" s="880">
        <f>+B55+B49</f>
        <v>6152284.59</v>
      </c>
      <c r="C61" s="880">
        <f>+C55+C49</f>
        <v>0</v>
      </c>
      <c r="D61" s="880">
        <f>+D55+D49</f>
        <v>640219.5</v>
      </c>
      <c r="E61" s="880">
        <f>+E55+E49</f>
        <v>5512065.09</v>
      </c>
    </row>
    <row r="62" spans="1:5" ht="11.25" customHeight="1">
      <c r="A62" s="881"/>
      <c r="B62" s="1317" t="s">
        <v>1102</v>
      </c>
      <c r="C62" s="1318" t="s">
        <v>1103</v>
      </c>
      <c r="D62" s="1318"/>
      <c r="E62" s="1318"/>
    </row>
    <row r="63" spans="1:5" ht="11.25" customHeight="1">
      <c r="A63" s="882" t="s">
        <v>1104</v>
      </c>
      <c r="B63" s="1317"/>
      <c r="C63" s="1317" t="s">
        <v>1105</v>
      </c>
      <c r="D63" s="1315" t="s">
        <v>1106</v>
      </c>
      <c r="E63" s="1315"/>
    </row>
    <row r="64" spans="1:5" ht="11.25" customHeight="1">
      <c r="A64" s="883"/>
      <c r="B64" s="1317"/>
      <c r="C64" s="1317"/>
      <c r="D64" s="1315"/>
      <c r="E64" s="1315"/>
    </row>
    <row r="65" spans="1:5" ht="11.25" customHeight="1">
      <c r="A65" s="856" t="s">
        <v>1107</v>
      </c>
      <c r="B65" s="878">
        <v>791823.64</v>
      </c>
      <c r="C65" s="884">
        <v>0.25</v>
      </c>
      <c r="D65" s="1319">
        <v>0.1576</v>
      </c>
      <c r="E65" s="1319"/>
    </row>
    <row r="66" spans="1:5" ht="12.75" customHeight="1">
      <c r="A66" s="856" t="s">
        <v>1108</v>
      </c>
      <c r="B66" s="878">
        <v>0</v>
      </c>
      <c r="C66" s="884">
        <v>0.6000000000000001</v>
      </c>
      <c r="D66" s="1320">
        <v>0</v>
      </c>
      <c r="E66" s="1320"/>
    </row>
    <row r="67" spans="1:5" ht="11.25" customHeight="1">
      <c r="A67" s="856" t="s">
        <v>1109</v>
      </c>
      <c r="B67" s="878">
        <v>2287533.49</v>
      </c>
      <c r="C67" s="884">
        <v>0.6000000000000001</v>
      </c>
      <c r="D67" s="1320">
        <v>0.576148</v>
      </c>
      <c r="E67" s="1320"/>
    </row>
    <row r="68" spans="1:5" ht="11.25" customHeight="1">
      <c r="A68" s="858" t="s">
        <v>1110</v>
      </c>
      <c r="B68" s="885">
        <v>2064442.69</v>
      </c>
      <c r="C68" s="886" t="s">
        <v>1111</v>
      </c>
      <c r="D68" s="1321">
        <v>0</v>
      </c>
      <c r="E68" s="1321"/>
    </row>
    <row r="69" spans="1:5" s="854" customFormat="1" ht="21.75" customHeight="1">
      <c r="A69" s="887" t="s">
        <v>1112</v>
      </c>
      <c r="B69" s="1315" t="s">
        <v>1113</v>
      </c>
      <c r="C69" s="1315"/>
      <c r="D69" s="1315" t="s">
        <v>1114</v>
      </c>
      <c r="E69" s="1315"/>
    </row>
    <row r="70" spans="1:5" ht="11.25" customHeight="1">
      <c r="A70" s="888" t="s">
        <v>1115</v>
      </c>
      <c r="B70" s="1199">
        <v>0</v>
      </c>
      <c r="C70" s="1199"/>
      <c r="D70" s="1199">
        <v>0</v>
      </c>
      <c r="E70" s="1199"/>
    </row>
    <row r="71" spans="1:5" ht="11.25" customHeight="1">
      <c r="A71" s="858" t="s">
        <v>1116</v>
      </c>
      <c r="B71" s="1191">
        <v>685804.69</v>
      </c>
      <c r="C71" s="1191"/>
      <c r="D71" s="1191">
        <v>5245884.01</v>
      </c>
      <c r="E71" s="1191"/>
    </row>
    <row r="72" spans="1:5" s="854" customFormat="1" ht="21.75" customHeight="1">
      <c r="A72" s="889" t="s">
        <v>1117</v>
      </c>
      <c r="B72" s="853" t="s">
        <v>1118</v>
      </c>
      <c r="C72" s="890" t="s">
        <v>1119</v>
      </c>
      <c r="D72" s="853" t="s">
        <v>1120</v>
      </c>
      <c r="E72" s="853" t="s">
        <v>1121</v>
      </c>
    </row>
    <row r="73" spans="1:5" ht="11.25" customHeight="1">
      <c r="A73" s="856" t="s">
        <v>1122</v>
      </c>
      <c r="B73" s="577">
        <v>0</v>
      </c>
      <c r="C73" s="577">
        <v>0</v>
      </c>
      <c r="D73" s="577">
        <v>0</v>
      </c>
      <c r="E73" s="577">
        <v>0</v>
      </c>
    </row>
    <row r="74" spans="1:5" ht="11.25" customHeight="1">
      <c r="A74" s="856" t="s">
        <v>1123</v>
      </c>
      <c r="B74" s="876">
        <v>0</v>
      </c>
      <c r="C74" s="876">
        <v>0</v>
      </c>
      <c r="D74" s="876">
        <v>0</v>
      </c>
      <c r="E74" s="876">
        <v>0</v>
      </c>
    </row>
    <row r="75" spans="1:5" ht="11.25" customHeight="1">
      <c r="A75" s="856" t="s">
        <v>1124</v>
      </c>
      <c r="B75" s="876">
        <v>0</v>
      </c>
      <c r="C75" s="876">
        <v>0</v>
      </c>
      <c r="D75" s="876">
        <v>0</v>
      </c>
      <c r="E75" s="876">
        <v>0</v>
      </c>
    </row>
    <row r="76" spans="1:5" ht="11.25" customHeight="1">
      <c r="A76" s="856" t="s">
        <v>1078</v>
      </c>
      <c r="B76" s="579">
        <f>+B74-B75</f>
        <v>0</v>
      </c>
      <c r="C76" s="579">
        <f>+C74-C75</f>
        <v>0</v>
      </c>
      <c r="D76" s="579">
        <f>+D74-D75</f>
        <v>0</v>
      </c>
      <c r="E76" s="579">
        <f>+E74-E75</f>
        <v>0</v>
      </c>
    </row>
    <row r="77" spans="1:5" ht="11.25" customHeight="1">
      <c r="A77" s="856" t="s">
        <v>1125</v>
      </c>
      <c r="B77" s="876">
        <v>0</v>
      </c>
      <c r="C77" s="876">
        <v>0</v>
      </c>
      <c r="D77" s="876">
        <v>0</v>
      </c>
      <c r="E77" s="876">
        <v>0</v>
      </c>
    </row>
    <row r="78" spans="1:5" ht="11.25" customHeight="1">
      <c r="A78" s="856" t="s">
        <v>1123</v>
      </c>
      <c r="B78" s="876">
        <v>0</v>
      </c>
      <c r="C78" s="876">
        <v>0</v>
      </c>
      <c r="D78" s="876">
        <v>0</v>
      </c>
      <c r="E78" s="876">
        <v>0</v>
      </c>
    </row>
    <row r="79" spans="1:5" ht="11.25" customHeight="1">
      <c r="A79" s="856" t="s">
        <v>1126</v>
      </c>
      <c r="B79" s="876">
        <v>0</v>
      </c>
      <c r="C79" s="876">
        <v>0</v>
      </c>
      <c r="D79" s="876">
        <v>0</v>
      </c>
      <c r="E79" s="876">
        <v>0</v>
      </c>
    </row>
    <row r="80" spans="1:5" ht="11.25" customHeight="1">
      <c r="A80" s="856" t="s">
        <v>1078</v>
      </c>
      <c r="B80" s="579">
        <f>+B78-B79</f>
        <v>0</v>
      </c>
      <c r="C80" s="579">
        <f>+C78-C79</f>
        <v>0</v>
      </c>
      <c r="D80" s="579">
        <f>+D78-D79</f>
        <v>0</v>
      </c>
      <c r="E80" s="579">
        <f>+E78-E79</f>
        <v>0</v>
      </c>
    </row>
    <row r="81" spans="1:5" s="854" customFormat="1" ht="21" customHeight="1">
      <c r="A81" s="852" t="s">
        <v>1127</v>
      </c>
      <c r="B81" s="1315" t="s">
        <v>1128</v>
      </c>
      <c r="C81" s="1315"/>
      <c r="D81" s="1315" t="s">
        <v>1129</v>
      </c>
      <c r="E81" s="1315"/>
    </row>
    <row r="82" spans="1:5" ht="11.25" customHeight="1">
      <c r="A82" s="856" t="s">
        <v>1130</v>
      </c>
      <c r="B82" s="1199">
        <v>0</v>
      </c>
      <c r="C82" s="1199"/>
      <c r="D82" s="1199">
        <v>0</v>
      </c>
      <c r="E82" s="1199"/>
    </row>
    <row r="83" spans="1:5" ht="11.25" customHeight="1">
      <c r="A83" s="858" t="s">
        <v>1131</v>
      </c>
      <c r="B83" s="1191">
        <v>0</v>
      </c>
      <c r="C83" s="1191"/>
      <c r="D83" s="1191">
        <v>0</v>
      </c>
      <c r="E83" s="1191"/>
    </row>
    <row r="84" spans="1:2" ht="11.25" customHeight="1">
      <c r="A84" s="571"/>
      <c r="B84" s="571"/>
    </row>
    <row r="85" spans="1:5" ht="11.25" customHeight="1">
      <c r="A85" s="1310" t="s">
        <v>1132</v>
      </c>
      <c r="B85" s="1317" t="s">
        <v>1102</v>
      </c>
      <c r="C85" s="1318" t="s">
        <v>1133</v>
      </c>
      <c r="D85" s="1318"/>
      <c r="E85" s="1318"/>
    </row>
    <row r="86" spans="1:5" ht="11.25" customHeight="1">
      <c r="A86" s="1310"/>
      <c r="B86" s="1317"/>
      <c r="C86" s="1317" t="s">
        <v>1105</v>
      </c>
      <c r="D86" s="1315" t="s">
        <v>1106</v>
      </c>
      <c r="E86" s="1315"/>
    </row>
    <row r="87" spans="1:5" ht="11.25" customHeight="1">
      <c r="A87" s="1310"/>
      <c r="B87" s="1317"/>
      <c r="C87" s="1317"/>
      <c r="D87" s="1315"/>
      <c r="E87" s="1315"/>
    </row>
    <row r="88" spans="1:5" ht="11.25" customHeight="1">
      <c r="A88" s="879" t="s">
        <v>1134</v>
      </c>
      <c r="B88" s="891">
        <v>2739694.68</v>
      </c>
      <c r="C88" s="892">
        <v>0.15</v>
      </c>
      <c r="D88" s="1314">
        <v>0.4226</v>
      </c>
      <c r="E88" s="1314"/>
    </row>
    <row r="89" spans="1:5" ht="11.25" customHeight="1">
      <c r="A89" s="860"/>
      <c r="B89" s="860"/>
      <c r="C89" s="893"/>
      <c r="D89" s="860"/>
      <c r="E89" s="860"/>
    </row>
    <row r="90" spans="1:5" s="854" customFormat="1" ht="21.75" customHeight="1">
      <c r="A90" s="894" t="s">
        <v>1135</v>
      </c>
      <c r="B90" s="1315" t="s">
        <v>1136</v>
      </c>
      <c r="C90" s="1315"/>
      <c r="D90" s="1315"/>
      <c r="E90" s="1315"/>
    </row>
    <row r="91" spans="1:5" ht="11.25" customHeight="1">
      <c r="A91" s="895" t="s">
        <v>1137</v>
      </c>
      <c r="B91" s="1314">
        <v>0</v>
      </c>
      <c r="C91" s="1314"/>
      <c r="D91" s="1314"/>
      <c r="E91" s="1314"/>
    </row>
    <row r="92" spans="1:21" ht="25.5" customHeight="1">
      <c r="A92" s="1316" t="s">
        <v>1151</v>
      </c>
      <c r="B92" s="1316"/>
      <c r="C92" s="1316"/>
      <c r="D92" s="1316"/>
      <c r="E92" s="1316"/>
      <c r="F92" s="896"/>
      <c r="G92" s="896"/>
      <c r="H92" s="896"/>
      <c r="I92" s="896"/>
      <c r="J92" s="896"/>
      <c r="K92" s="896"/>
      <c r="L92" s="896"/>
      <c r="M92" s="896"/>
      <c r="N92" s="896"/>
      <c r="O92" s="896"/>
      <c r="P92" s="896"/>
      <c r="Q92" s="896"/>
      <c r="R92" s="896"/>
      <c r="S92" s="896"/>
      <c r="T92" s="896"/>
      <c r="U92" s="896"/>
    </row>
  </sheetData>
  <sheetProtection password="F3F6" sheet="1"/>
  <mergeCells count="71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A1">
      <selection activeCell="B17" sqref="B17"/>
    </sheetView>
  </sheetViews>
  <sheetFormatPr defaultColWidth="8.7109375" defaultRowHeight="11.25" customHeight="1"/>
  <cols>
    <col min="1" max="1" width="59.57421875" style="22" customWidth="1"/>
    <col min="2" max="5" width="17.57421875" style="22" customWidth="1"/>
    <col min="6" max="6" width="17.7109375" style="22" customWidth="1"/>
    <col min="7" max="8" width="17.57421875" style="22" customWidth="1"/>
    <col min="9" max="9" width="17.7109375" style="22" customWidth="1"/>
    <col min="10" max="10" width="17.57421875" style="22" customWidth="1"/>
    <col min="11" max="11" width="12.57421875" style="22" customWidth="1"/>
    <col min="12" max="12" width="22.00390625" style="22" customWidth="1"/>
    <col min="13" max="13" width="41.57421875" style="22" customWidth="1"/>
    <col min="14" max="14" width="18.28125" style="22" customWidth="1"/>
    <col min="15" max="15" width="6.28125" style="22" customWidth="1"/>
    <col min="16" max="17" width="15.00390625" style="22" customWidth="1"/>
    <col min="18" max="18" width="21.57421875" style="22" customWidth="1"/>
    <col min="19" max="19" width="13.00390625" style="22" customWidth="1"/>
    <col min="20" max="16384" width="8.7109375" style="22" customWidth="1"/>
  </cols>
  <sheetData>
    <row r="1" spans="1:12" ht="12.75" customHeight="1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945" t="str">
        <f>+'Informações Iniciais'!A1</f>
        <v>MUNICÍPIO DE RIBAMAR FIQUENE - PODER EXECUTIVO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</row>
    <row r="4" spans="1:12" ht="11.25" customHeight="1">
      <c r="A4" s="946" t="s">
        <v>0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24"/>
    </row>
    <row r="5" spans="1:12" ht="11.25" customHeight="1">
      <c r="A5" s="947" t="s">
        <v>28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24"/>
    </row>
    <row r="6" spans="1:12" ht="14.25" customHeight="1">
      <c r="A6" s="948" t="s">
        <v>29</v>
      </c>
      <c r="B6" s="948"/>
      <c r="C6" s="948"/>
      <c r="D6" s="948"/>
      <c r="E6" s="948"/>
      <c r="F6" s="948"/>
      <c r="G6" s="948"/>
      <c r="H6" s="948"/>
      <c r="I6" s="948"/>
      <c r="J6" s="948"/>
      <c r="K6" s="948"/>
      <c r="L6" s="24"/>
    </row>
    <row r="7" spans="1:12" ht="11.25" customHeight="1">
      <c r="A7" s="945" t="str">
        <f>+'Informações Iniciais'!A5</f>
        <v>3º Bimestre de 2020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30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31</v>
      </c>
    </row>
    <row r="10" spans="1:13" ht="11.25" customHeight="1">
      <c r="A10" s="949" t="s">
        <v>32</v>
      </c>
      <c r="B10" s="950" t="s">
        <v>33</v>
      </c>
      <c r="C10" s="950"/>
      <c r="D10" s="924" t="s">
        <v>34</v>
      </c>
      <c r="E10" s="924"/>
      <c r="F10" s="951" t="s">
        <v>35</v>
      </c>
      <c r="G10" s="951"/>
      <c r="H10" s="951"/>
      <c r="I10" s="951"/>
      <c r="J10" s="951"/>
      <c r="K10" s="951"/>
      <c r="L10" s="952" t="s">
        <v>36</v>
      </c>
      <c r="M10" s="34"/>
    </row>
    <row r="11" spans="1:12" ht="12.75" customHeight="1">
      <c r="A11" s="949"/>
      <c r="B11" s="950"/>
      <c r="C11" s="950"/>
      <c r="D11" s="924"/>
      <c r="E11" s="924"/>
      <c r="F11" s="926" t="s">
        <v>37</v>
      </c>
      <c r="G11" s="926"/>
      <c r="H11" s="36" t="s">
        <v>38</v>
      </c>
      <c r="I11" s="927" t="s">
        <v>39</v>
      </c>
      <c r="J11" s="927"/>
      <c r="K11" s="37" t="s">
        <v>38</v>
      </c>
      <c r="L11" s="952"/>
    </row>
    <row r="12" spans="1:12" ht="11.25" customHeight="1">
      <c r="A12" s="949"/>
      <c r="B12" s="950"/>
      <c r="C12" s="950"/>
      <c r="D12" s="921" t="s">
        <v>40</v>
      </c>
      <c r="E12" s="921"/>
      <c r="F12" s="921" t="s">
        <v>41</v>
      </c>
      <c r="G12" s="921"/>
      <c r="H12" s="39" t="s">
        <v>42</v>
      </c>
      <c r="I12" s="921" t="s">
        <v>43</v>
      </c>
      <c r="J12" s="921"/>
      <c r="K12" s="40" t="s">
        <v>44</v>
      </c>
      <c r="L12" s="38" t="s">
        <v>45</v>
      </c>
    </row>
    <row r="13" spans="1:12" ht="12.75" customHeight="1">
      <c r="A13" s="41" t="s">
        <v>46</v>
      </c>
      <c r="B13" s="922">
        <f>+B14+B54</f>
        <v>37959000</v>
      </c>
      <c r="C13" s="922"/>
      <c r="D13" s="922">
        <f>+D14+D54</f>
        <v>37959000</v>
      </c>
      <c r="E13" s="922"/>
      <c r="F13" s="922">
        <f>+F14+F54</f>
        <v>3097950.79</v>
      </c>
      <c r="G13" s="922"/>
      <c r="H13" s="42">
        <f aca="true" t="shared" si="0" ref="H13:H21">IF(D13="",0,IF(D13=0,0,+F13/D13))</f>
        <v>0.08161307700413604</v>
      </c>
      <c r="I13" s="922">
        <f>+I14+I54</f>
        <v>10181148.61</v>
      </c>
      <c r="J13" s="922"/>
      <c r="K13" s="42">
        <f aca="true" t="shared" si="1" ref="K13:K59">IF(D13="",0,IF(D13=0,0,I13/D13))</f>
        <v>0.2682143525909534</v>
      </c>
      <c r="L13" s="43">
        <f aca="true" t="shared" si="2" ref="L13:L76">+D13-I13</f>
        <v>27777851.39</v>
      </c>
    </row>
    <row r="14" spans="1:12" ht="12.75" customHeight="1">
      <c r="A14" s="44" t="s">
        <v>47</v>
      </c>
      <c r="B14" s="918">
        <f>+B15+B19+B24+B32+B33+B34+B40+B49</f>
        <v>33295000</v>
      </c>
      <c r="C14" s="918"/>
      <c r="D14" s="918">
        <f>+D15+D19+D24+D32+D33+D34+D40+D49</f>
        <v>33295000</v>
      </c>
      <c r="E14" s="918"/>
      <c r="F14" s="918">
        <f>+F15+F19+F24+F32+F33+F34+F40+F49</f>
        <v>3097950.79</v>
      </c>
      <c r="G14" s="918"/>
      <c r="H14" s="45">
        <f t="shared" si="0"/>
        <v>0.0930455260549632</v>
      </c>
      <c r="I14" s="918">
        <f>+I15+I19+I24+I32+I33+I34+I40+I49</f>
        <v>10181148.61</v>
      </c>
      <c r="J14" s="918"/>
      <c r="K14" s="45">
        <f t="shared" si="1"/>
        <v>0.3057861123291785</v>
      </c>
      <c r="L14" s="46">
        <f t="shared" si="2"/>
        <v>23113851.39</v>
      </c>
    </row>
    <row r="15" spans="1:12" ht="12.75" customHeight="1">
      <c r="A15" s="47" t="s">
        <v>48</v>
      </c>
      <c r="B15" s="907">
        <f>SUM(B16:C18)</f>
        <v>196000</v>
      </c>
      <c r="C15" s="907"/>
      <c r="D15" s="907">
        <f>SUM(D16:E18)</f>
        <v>196000</v>
      </c>
      <c r="E15" s="907"/>
      <c r="F15" s="907">
        <f>SUM(F16:G18)</f>
        <v>91024.63</v>
      </c>
      <c r="G15" s="907"/>
      <c r="H15" s="48">
        <f t="shared" si="0"/>
        <v>0.4644113775510204</v>
      </c>
      <c r="I15" s="907">
        <f>SUM(I16:J18)</f>
        <v>299131.77</v>
      </c>
      <c r="J15" s="907"/>
      <c r="K15" s="48">
        <f t="shared" si="1"/>
        <v>1.5261825</v>
      </c>
      <c r="L15" s="49">
        <f t="shared" si="2"/>
        <v>-103131.77000000002</v>
      </c>
    </row>
    <row r="16" spans="1:12" ht="12.75" customHeight="1">
      <c r="A16" s="50" t="s">
        <v>49</v>
      </c>
      <c r="B16" s="920">
        <v>190000</v>
      </c>
      <c r="C16" s="920"/>
      <c r="D16" s="920">
        <v>190000</v>
      </c>
      <c r="E16" s="920"/>
      <c r="F16" s="920">
        <v>90584.63</v>
      </c>
      <c r="G16" s="920"/>
      <c r="H16" s="51">
        <f t="shared" si="0"/>
        <v>0.4767612105263158</v>
      </c>
      <c r="I16" s="920">
        <v>292149.77</v>
      </c>
      <c r="J16" s="920"/>
      <c r="K16" s="51">
        <f t="shared" si="1"/>
        <v>1.5376303684210528</v>
      </c>
      <c r="L16" s="52">
        <f t="shared" si="2"/>
        <v>-102149.77000000002</v>
      </c>
    </row>
    <row r="17" spans="1:12" ht="12.75" customHeight="1">
      <c r="A17" s="50" t="s">
        <v>50</v>
      </c>
      <c r="B17" s="920">
        <v>6000</v>
      </c>
      <c r="C17" s="920"/>
      <c r="D17" s="920">
        <v>6000</v>
      </c>
      <c r="E17" s="920"/>
      <c r="F17" s="920">
        <v>440</v>
      </c>
      <c r="G17" s="920"/>
      <c r="H17" s="51">
        <f t="shared" si="0"/>
        <v>0.07333333333333333</v>
      </c>
      <c r="I17" s="920">
        <v>6982</v>
      </c>
      <c r="J17" s="920"/>
      <c r="K17" s="51">
        <f t="shared" si="1"/>
        <v>1.1636666666666666</v>
      </c>
      <c r="L17" s="52">
        <f t="shared" si="2"/>
        <v>-982</v>
      </c>
    </row>
    <row r="18" spans="1:12" ht="12.75" customHeight="1">
      <c r="A18" s="50" t="s">
        <v>51</v>
      </c>
      <c r="B18" s="905">
        <v>0</v>
      </c>
      <c r="C18" s="905"/>
      <c r="D18" s="905">
        <v>0</v>
      </c>
      <c r="E18" s="905"/>
      <c r="F18" s="905">
        <v>0</v>
      </c>
      <c r="G18" s="905"/>
      <c r="H18" s="51">
        <f t="shared" si="0"/>
        <v>0</v>
      </c>
      <c r="I18" s="905">
        <v>0</v>
      </c>
      <c r="J18" s="905"/>
      <c r="K18" s="51">
        <f t="shared" si="1"/>
        <v>0</v>
      </c>
      <c r="L18" s="52">
        <f t="shared" si="2"/>
        <v>0</v>
      </c>
    </row>
    <row r="19" spans="1:12" ht="12.75" customHeight="1">
      <c r="A19" s="53" t="s">
        <v>52</v>
      </c>
      <c r="B19" s="907">
        <f>SUM(B20:C23)</f>
        <v>90000</v>
      </c>
      <c r="C19" s="907"/>
      <c r="D19" s="907">
        <f>SUM(D20:E23)</f>
        <v>90000</v>
      </c>
      <c r="E19" s="907"/>
      <c r="F19" s="907">
        <f>SUM(F20:G23)</f>
        <v>11118</v>
      </c>
      <c r="G19" s="907"/>
      <c r="H19" s="48">
        <f t="shared" si="0"/>
        <v>0.12353333333333333</v>
      </c>
      <c r="I19" s="907">
        <f>SUM(I20:J23)</f>
        <v>11118</v>
      </c>
      <c r="J19" s="907"/>
      <c r="K19" s="48">
        <f t="shared" si="1"/>
        <v>0.12353333333333333</v>
      </c>
      <c r="L19" s="49">
        <f t="shared" si="2"/>
        <v>78882</v>
      </c>
    </row>
    <row r="20" spans="1:12" ht="12.75" customHeight="1">
      <c r="A20" s="50" t="s">
        <v>53</v>
      </c>
      <c r="B20" s="920">
        <v>0</v>
      </c>
      <c r="C20" s="920"/>
      <c r="D20" s="920">
        <v>0</v>
      </c>
      <c r="E20" s="920"/>
      <c r="F20" s="920">
        <v>0</v>
      </c>
      <c r="G20" s="920"/>
      <c r="H20" s="51">
        <f t="shared" si="0"/>
        <v>0</v>
      </c>
      <c r="I20" s="920">
        <v>0</v>
      </c>
      <c r="J20" s="920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54</v>
      </c>
      <c r="B21" s="920">
        <v>0</v>
      </c>
      <c r="C21" s="920"/>
      <c r="D21" s="920">
        <v>0</v>
      </c>
      <c r="E21" s="920"/>
      <c r="F21" s="920">
        <v>0</v>
      </c>
      <c r="G21" s="920"/>
      <c r="H21" s="51">
        <f t="shared" si="0"/>
        <v>0</v>
      </c>
      <c r="I21" s="920">
        <v>0</v>
      </c>
      <c r="J21" s="920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55</v>
      </c>
      <c r="B22" s="944">
        <v>0</v>
      </c>
      <c r="C22" s="944"/>
      <c r="D22" s="905">
        <v>0</v>
      </c>
      <c r="E22" s="905"/>
      <c r="F22" s="905">
        <v>0</v>
      </c>
      <c r="G22" s="905"/>
      <c r="H22" s="51"/>
      <c r="I22" s="905">
        <v>0</v>
      </c>
      <c r="J22" s="905"/>
      <c r="K22" s="51">
        <f t="shared" si="1"/>
        <v>0</v>
      </c>
      <c r="L22" s="52">
        <f t="shared" si="2"/>
        <v>0</v>
      </c>
    </row>
    <row r="23" spans="1:12" ht="24" customHeight="1">
      <c r="A23" s="55" t="s">
        <v>56</v>
      </c>
      <c r="B23" s="905">
        <v>90000</v>
      </c>
      <c r="C23" s="905"/>
      <c r="D23" s="905">
        <v>90000</v>
      </c>
      <c r="E23" s="905"/>
      <c r="F23" s="905">
        <v>11118</v>
      </c>
      <c r="G23" s="905"/>
      <c r="H23" s="51">
        <f aca="true" t="shared" si="3" ref="H23:H31">IF(D23="",0,IF(D23=0,0,+F23/D23))</f>
        <v>0.12353333333333333</v>
      </c>
      <c r="I23" s="905">
        <v>11118</v>
      </c>
      <c r="J23" s="905"/>
      <c r="K23" s="51">
        <f t="shared" si="1"/>
        <v>0.12353333333333333</v>
      </c>
      <c r="L23" s="52">
        <f t="shared" si="2"/>
        <v>78882</v>
      </c>
    </row>
    <row r="24" spans="1:12" ht="12.75" customHeight="1">
      <c r="A24" s="53" t="s">
        <v>57</v>
      </c>
      <c r="B24" s="907">
        <f>SUM(B25:C31)</f>
        <v>24000</v>
      </c>
      <c r="C24" s="907"/>
      <c r="D24" s="907">
        <f>SUM(D25:E31)</f>
        <v>24000</v>
      </c>
      <c r="E24" s="907"/>
      <c r="F24" s="907">
        <f>SUM(F25:G31)</f>
        <v>1824.12</v>
      </c>
      <c r="G24" s="907"/>
      <c r="H24" s="48">
        <f t="shared" si="3"/>
        <v>0.07600499999999999</v>
      </c>
      <c r="I24" s="907">
        <f>SUM(I25:J31)</f>
        <v>6942.09</v>
      </c>
      <c r="J24" s="907"/>
      <c r="K24" s="48">
        <f t="shared" si="1"/>
        <v>0.28925375000000003</v>
      </c>
      <c r="L24" s="49">
        <f t="shared" si="2"/>
        <v>17057.91</v>
      </c>
    </row>
    <row r="25" spans="1:12" ht="12.75" customHeight="1">
      <c r="A25" s="50" t="s">
        <v>58</v>
      </c>
      <c r="B25" s="920">
        <v>0</v>
      </c>
      <c r="C25" s="920"/>
      <c r="D25" s="920">
        <v>0</v>
      </c>
      <c r="E25" s="920"/>
      <c r="F25" s="920">
        <v>0</v>
      </c>
      <c r="G25" s="920"/>
      <c r="H25" s="51">
        <f t="shared" si="3"/>
        <v>0</v>
      </c>
      <c r="I25" s="920">
        <v>0</v>
      </c>
      <c r="J25" s="920"/>
      <c r="K25" s="51">
        <f t="shared" si="1"/>
        <v>0</v>
      </c>
      <c r="L25" s="52">
        <f t="shared" si="2"/>
        <v>0</v>
      </c>
    </row>
    <row r="26" spans="1:12" ht="12.75" customHeight="1">
      <c r="A26" s="50" t="s">
        <v>59</v>
      </c>
      <c r="B26" s="920">
        <v>24000</v>
      </c>
      <c r="C26" s="920"/>
      <c r="D26" s="920">
        <v>24000</v>
      </c>
      <c r="E26" s="920"/>
      <c r="F26" s="920">
        <v>1824.12</v>
      </c>
      <c r="G26" s="920"/>
      <c r="H26" s="51">
        <f t="shared" si="3"/>
        <v>0.07600499999999999</v>
      </c>
      <c r="I26" s="920">
        <v>6942.09</v>
      </c>
      <c r="J26" s="920"/>
      <c r="K26" s="51">
        <f t="shared" si="1"/>
        <v>0.28925375000000003</v>
      </c>
      <c r="L26" s="52">
        <f t="shared" si="2"/>
        <v>17057.91</v>
      </c>
    </row>
    <row r="27" spans="1:12" ht="25.5" customHeight="1">
      <c r="A27" s="55" t="s">
        <v>60</v>
      </c>
      <c r="B27" s="905">
        <v>0</v>
      </c>
      <c r="C27" s="905"/>
      <c r="D27" s="905">
        <v>0</v>
      </c>
      <c r="E27" s="905"/>
      <c r="F27" s="905">
        <v>0</v>
      </c>
      <c r="G27" s="905"/>
      <c r="H27" s="51">
        <f t="shared" si="3"/>
        <v>0</v>
      </c>
      <c r="I27" s="905">
        <v>0</v>
      </c>
      <c r="J27" s="905"/>
      <c r="K27" s="51">
        <f t="shared" si="1"/>
        <v>0</v>
      </c>
      <c r="L27" s="52">
        <f t="shared" si="2"/>
        <v>0</v>
      </c>
    </row>
    <row r="28" spans="1:12" ht="12.75" customHeight="1">
      <c r="A28" s="50" t="s">
        <v>61</v>
      </c>
      <c r="B28" s="905">
        <v>0</v>
      </c>
      <c r="C28" s="905"/>
      <c r="D28" s="905">
        <v>0</v>
      </c>
      <c r="E28" s="905"/>
      <c r="F28" s="905">
        <v>0</v>
      </c>
      <c r="G28" s="905"/>
      <c r="H28" s="51">
        <f t="shared" si="3"/>
        <v>0</v>
      </c>
      <c r="I28" s="905">
        <v>0</v>
      </c>
      <c r="J28" s="905"/>
      <c r="K28" s="51">
        <f t="shared" si="1"/>
        <v>0</v>
      </c>
      <c r="L28" s="52">
        <f t="shared" si="2"/>
        <v>0</v>
      </c>
    </row>
    <row r="29" spans="1:12" ht="12.75" customHeight="1">
      <c r="A29" s="56" t="s">
        <v>62</v>
      </c>
      <c r="B29" s="917">
        <v>0</v>
      </c>
      <c r="C29" s="917"/>
      <c r="D29" s="917">
        <v>0</v>
      </c>
      <c r="E29" s="917"/>
      <c r="F29" s="917">
        <v>0</v>
      </c>
      <c r="G29" s="917"/>
      <c r="H29" s="58">
        <f t="shared" si="3"/>
        <v>0</v>
      </c>
      <c r="I29" s="917">
        <v>0</v>
      </c>
      <c r="J29" s="917"/>
      <c r="K29" s="58">
        <f t="shared" si="1"/>
        <v>0</v>
      </c>
      <c r="L29" s="59">
        <f t="shared" si="2"/>
        <v>0</v>
      </c>
    </row>
    <row r="30" spans="1:12" ht="12.75" customHeight="1">
      <c r="A30" s="55" t="s">
        <v>63</v>
      </c>
      <c r="B30" s="905">
        <v>0</v>
      </c>
      <c r="C30" s="905"/>
      <c r="D30" s="905">
        <v>0</v>
      </c>
      <c r="E30" s="905"/>
      <c r="F30" s="905">
        <v>0</v>
      </c>
      <c r="G30" s="905"/>
      <c r="H30" s="51">
        <f t="shared" si="3"/>
        <v>0</v>
      </c>
      <c r="I30" s="905">
        <v>0</v>
      </c>
      <c r="J30" s="905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64</v>
      </c>
      <c r="B31" s="920">
        <v>0</v>
      </c>
      <c r="C31" s="920"/>
      <c r="D31" s="920">
        <v>0</v>
      </c>
      <c r="E31" s="920"/>
      <c r="F31" s="920">
        <v>0</v>
      </c>
      <c r="G31" s="920"/>
      <c r="H31" s="51">
        <f t="shared" si="3"/>
        <v>0</v>
      </c>
      <c r="I31" s="905">
        <v>0</v>
      </c>
      <c r="J31" s="905"/>
      <c r="K31" s="51">
        <f t="shared" si="1"/>
        <v>0</v>
      </c>
      <c r="L31" s="52">
        <f t="shared" si="2"/>
        <v>0</v>
      </c>
    </row>
    <row r="32" spans="1:12" ht="12.75" customHeight="1">
      <c r="A32" s="53" t="s">
        <v>65</v>
      </c>
      <c r="B32" s="907">
        <v>0</v>
      </c>
      <c r="C32" s="907"/>
      <c r="D32" s="907">
        <v>0</v>
      </c>
      <c r="E32" s="907"/>
      <c r="F32" s="907">
        <v>0</v>
      </c>
      <c r="G32" s="907"/>
      <c r="H32" s="48">
        <v>0</v>
      </c>
      <c r="I32" s="907">
        <v>0</v>
      </c>
      <c r="J32" s="907"/>
      <c r="K32" s="60">
        <f t="shared" si="1"/>
        <v>0</v>
      </c>
      <c r="L32" s="61">
        <f t="shared" si="2"/>
        <v>0</v>
      </c>
    </row>
    <row r="33" spans="1:12" ht="12.75" customHeight="1">
      <c r="A33" s="53" t="s">
        <v>66</v>
      </c>
      <c r="B33" s="907">
        <v>0</v>
      </c>
      <c r="C33" s="907"/>
      <c r="D33" s="907">
        <v>0</v>
      </c>
      <c r="E33" s="907"/>
      <c r="F33" s="907">
        <v>0</v>
      </c>
      <c r="G33" s="907"/>
      <c r="H33" s="48">
        <v>0</v>
      </c>
      <c r="I33" s="907">
        <v>0</v>
      </c>
      <c r="J33" s="907"/>
      <c r="K33" s="60">
        <f t="shared" si="1"/>
        <v>0</v>
      </c>
      <c r="L33" s="61">
        <f t="shared" si="2"/>
        <v>0</v>
      </c>
    </row>
    <row r="34" spans="1:12" ht="12.75" customHeight="1">
      <c r="A34" s="53" t="s">
        <v>67</v>
      </c>
      <c r="B34" s="942">
        <f>SUM(B35:B39)</f>
        <v>746000</v>
      </c>
      <c r="C34" s="942"/>
      <c r="D34" s="943">
        <f>SUM(D35:D39)</f>
        <v>746000</v>
      </c>
      <c r="E34" s="943"/>
      <c r="F34" s="943">
        <f>SUM(F35:F39)</f>
        <v>0</v>
      </c>
      <c r="G34" s="943"/>
      <c r="H34" s="48">
        <f>IF(D34="",0,IF(D34=0,0,+F34/D34))</f>
        <v>0</v>
      </c>
      <c r="I34" s="943">
        <f>SUM(I35:I39)</f>
        <v>0</v>
      </c>
      <c r="J34" s="943"/>
      <c r="K34" s="48">
        <f t="shared" si="1"/>
        <v>0</v>
      </c>
      <c r="L34" s="61">
        <f t="shared" si="2"/>
        <v>746000</v>
      </c>
    </row>
    <row r="35" spans="1:12" ht="12.75" customHeight="1">
      <c r="A35" s="50" t="s">
        <v>68</v>
      </c>
      <c r="B35" s="920">
        <v>703000</v>
      </c>
      <c r="C35" s="920"/>
      <c r="D35" s="920">
        <v>703000</v>
      </c>
      <c r="E35" s="920"/>
      <c r="F35" s="920">
        <v>0</v>
      </c>
      <c r="G35" s="920"/>
      <c r="H35" s="62"/>
      <c r="I35" s="920">
        <v>0</v>
      </c>
      <c r="J35" s="920"/>
      <c r="K35" s="62">
        <f t="shared" si="1"/>
        <v>0</v>
      </c>
      <c r="L35" s="63">
        <f t="shared" si="2"/>
        <v>703000</v>
      </c>
    </row>
    <row r="36" spans="1:12" ht="12.75" customHeight="1">
      <c r="A36" s="50" t="s">
        <v>69</v>
      </c>
      <c r="B36" s="920">
        <v>0</v>
      </c>
      <c r="C36" s="920"/>
      <c r="D36" s="920">
        <v>0</v>
      </c>
      <c r="E36" s="920"/>
      <c r="F36" s="920">
        <v>0</v>
      </c>
      <c r="G36" s="920"/>
      <c r="H36" s="62"/>
      <c r="I36" s="920">
        <v>0</v>
      </c>
      <c r="J36" s="920"/>
      <c r="K36" s="62">
        <f t="shared" si="1"/>
        <v>0</v>
      </c>
      <c r="L36" s="63">
        <f t="shared" si="2"/>
        <v>0</v>
      </c>
    </row>
    <row r="37" spans="1:12" ht="12.75" customHeight="1">
      <c r="A37" s="50" t="s">
        <v>70</v>
      </c>
      <c r="B37" s="905">
        <v>0</v>
      </c>
      <c r="C37" s="905"/>
      <c r="D37" s="905">
        <v>0</v>
      </c>
      <c r="E37" s="905"/>
      <c r="F37" s="905">
        <v>0</v>
      </c>
      <c r="G37" s="905"/>
      <c r="H37" s="62"/>
      <c r="I37" s="905">
        <v>0</v>
      </c>
      <c r="J37" s="905"/>
      <c r="K37" s="62">
        <f t="shared" si="1"/>
        <v>0</v>
      </c>
      <c r="L37" s="63">
        <f t="shared" si="2"/>
        <v>0</v>
      </c>
    </row>
    <row r="38" spans="1:12" ht="12.75" customHeight="1">
      <c r="A38" s="50" t="s">
        <v>71</v>
      </c>
      <c r="B38" s="905">
        <v>0</v>
      </c>
      <c r="C38" s="905"/>
      <c r="D38" s="905">
        <v>0</v>
      </c>
      <c r="E38" s="905"/>
      <c r="F38" s="905">
        <v>0</v>
      </c>
      <c r="G38" s="905"/>
      <c r="H38" s="62"/>
      <c r="I38" s="905">
        <v>0</v>
      </c>
      <c r="J38" s="905"/>
      <c r="K38" s="62">
        <f t="shared" si="1"/>
        <v>0</v>
      </c>
      <c r="L38" s="63">
        <f t="shared" si="2"/>
        <v>0</v>
      </c>
    </row>
    <row r="39" spans="1:12" ht="12.75" customHeight="1">
      <c r="A39" s="50" t="s">
        <v>72</v>
      </c>
      <c r="B39" s="905">
        <v>43000</v>
      </c>
      <c r="C39" s="905"/>
      <c r="D39" s="905">
        <v>43000</v>
      </c>
      <c r="E39" s="905"/>
      <c r="F39" s="905">
        <v>0</v>
      </c>
      <c r="G39" s="905"/>
      <c r="H39" s="62"/>
      <c r="I39" s="905">
        <v>0</v>
      </c>
      <c r="J39" s="905"/>
      <c r="K39" s="62">
        <f t="shared" si="1"/>
        <v>0</v>
      </c>
      <c r="L39" s="63">
        <f t="shared" si="2"/>
        <v>43000</v>
      </c>
    </row>
    <row r="40" spans="1:12" ht="12.75" customHeight="1">
      <c r="A40" s="53" t="s">
        <v>73</v>
      </c>
      <c r="B40" s="907">
        <f>SUM(B41:C48)</f>
        <v>32227000</v>
      </c>
      <c r="C40" s="907"/>
      <c r="D40" s="907">
        <f>SUM(D41:E48)</f>
        <v>32227000</v>
      </c>
      <c r="E40" s="907"/>
      <c r="F40" s="907">
        <f>SUM(F41:G48)</f>
        <v>2993984.04</v>
      </c>
      <c r="G40" s="907"/>
      <c r="H40" s="48">
        <f aca="true" t="shared" si="4" ref="H40:H45">IF(D40="",0,IF(D40=0,0,+F40/D40))</f>
        <v>0.09290297080088125</v>
      </c>
      <c r="I40" s="907">
        <f>SUM(I41:J48)</f>
        <v>9863956.75</v>
      </c>
      <c r="J40" s="907"/>
      <c r="K40" s="48">
        <f t="shared" si="1"/>
        <v>0.30607741179756104</v>
      </c>
      <c r="L40" s="49">
        <f t="shared" si="2"/>
        <v>22363043.25</v>
      </c>
    </row>
    <row r="41" spans="1:12" ht="12.75" customHeight="1">
      <c r="A41" s="50" t="s">
        <v>74</v>
      </c>
      <c r="B41" s="920">
        <v>19559000</v>
      </c>
      <c r="C41" s="920"/>
      <c r="D41" s="920">
        <v>19559000</v>
      </c>
      <c r="E41" s="920"/>
      <c r="F41" s="920">
        <v>2250106.51</v>
      </c>
      <c r="G41" s="920"/>
      <c r="H41" s="51">
        <f t="shared" si="4"/>
        <v>0.11504200163607545</v>
      </c>
      <c r="I41" s="920">
        <v>7155900.38</v>
      </c>
      <c r="J41" s="920"/>
      <c r="K41" s="51">
        <f t="shared" si="1"/>
        <v>0.36586228232527224</v>
      </c>
      <c r="L41" s="52">
        <f t="shared" si="2"/>
        <v>12403099.620000001</v>
      </c>
    </row>
    <row r="42" spans="1:12" ht="24" customHeight="1">
      <c r="A42" s="55" t="s">
        <v>75</v>
      </c>
      <c r="B42" s="920">
        <v>4045000</v>
      </c>
      <c r="C42" s="920"/>
      <c r="D42" s="920">
        <v>4045000</v>
      </c>
      <c r="E42" s="920"/>
      <c r="F42" s="920">
        <v>218627.02</v>
      </c>
      <c r="G42" s="920"/>
      <c r="H42" s="51">
        <f t="shared" si="4"/>
        <v>0.05404870704573547</v>
      </c>
      <c r="I42" s="920">
        <v>804550.81</v>
      </c>
      <c r="J42" s="920"/>
      <c r="K42" s="51">
        <f t="shared" si="1"/>
        <v>0.1989000766378245</v>
      </c>
      <c r="L42" s="52">
        <f t="shared" si="2"/>
        <v>3240449.19</v>
      </c>
    </row>
    <row r="43" spans="1:12" ht="12.75" customHeight="1">
      <c r="A43" s="50" t="s">
        <v>76</v>
      </c>
      <c r="B43" s="920">
        <v>3991000</v>
      </c>
      <c r="C43" s="920"/>
      <c r="D43" s="920">
        <v>3991000</v>
      </c>
      <c r="E43" s="920"/>
      <c r="F43" s="920">
        <v>0</v>
      </c>
      <c r="G43" s="920"/>
      <c r="H43" s="51">
        <f t="shared" si="4"/>
        <v>0</v>
      </c>
      <c r="I43" s="920">
        <v>0</v>
      </c>
      <c r="J43" s="920"/>
      <c r="K43" s="51">
        <f t="shared" si="1"/>
        <v>0</v>
      </c>
      <c r="L43" s="52">
        <f t="shared" si="2"/>
        <v>3991000</v>
      </c>
    </row>
    <row r="44" spans="1:12" ht="12.75" customHeight="1">
      <c r="A44" s="50" t="s">
        <v>77</v>
      </c>
      <c r="B44" s="920">
        <v>0</v>
      </c>
      <c r="C44" s="920"/>
      <c r="D44" s="920">
        <v>0</v>
      </c>
      <c r="E44" s="920"/>
      <c r="F44" s="920">
        <v>0</v>
      </c>
      <c r="G44" s="920"/>
      <c r="H44" s="51">
        <f t="shared" si="4"/>
        <v>0</v>
      </c>
      <c r="I44" s="920">
        <v>0</v>
      </c>
      <c r="J44" s="920"/>
      <c r="K44" s="51">
        <f t="shared" si="1"/>
        <v>0</v>
      </c>
      <c r="L44" s="52">
        <f t="shared" si="2"/>
        <v>0</v>
      </c>
    </row>
    <row r="45" spans="1:12" ht="12.75" customHeight="1">
      <c r="A45" s="50" t="s">
        <v>78</v>
      </c>
      <c r="B45" s="920">
        <v>4632000</v>
      </c>
      <c r="C45" s="920"/>
      <c r="D45" s="920">
        <v>4632000</v>
      </c>
      <c r="E45" s="920"/>
      <c r="F45" s="920">
        <v>525250.51</v>
      </c>
      <c r="G45" s="920"/>
      <c r="H45" s="51">
        <f t="shared" si="4"/>
        <v>0.11339605138169258</v>
      </c>
      <c r="I45" s="920">
        <v>1903505.56</v>
      </c>
      <c r="J45" s="920"/>
      <c r="K45" s="51">
        <f t="shared" si="1"/>
        <v>0.4109467962003454</v>
      </c>
      <c r="L45" s="52">
        <f t="shared" si="2"/>
        <v>2728494.44</v>
      </c>
    </row>
    <row r="46" spans="1:12" ht="12.75" customHeight="1">
      <c r="A46" s="50" t="s">
        <v>79</v>
      </c>
      <c r="B46" s="905">
        <v>0</v>
      </c>
      <c r="C46" s="905"/>
      <c r="D46" s="905">
        <v>0</v>
      </c>
      <c r="E46" s="905"/>
      <c r="F46" s="905">
        <v>0</v>
      </c>
      <c r="G46" s="905"/>
      <c r="H46" s="51">
        <v>0</v>
      </c>
      <c r="I46" s="905">
        <v>0</v>
      </c>
      <c r="J46" s="905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80</v>
      </c>
      <c r="B47" s="905">
        <v>0</v>
      </c>
      <c r="C47" s="905"/>
      <c r="D47" s="905">
        <v>0</v>
      </c>
      <c r="E47" s="905"/>
      <c r="F47" s="905">
        <v>0</v>
      </c>
      <c r="G47" s="905"/>
      <c r="H47" s="51">
        <v>0</v>
      </c>
      <c r="I47" s="905">
        <v>0</v>
      </c>
      <c r="J47" s="905"/>
      <c r="K47" s="51">
        <f t="shared" si="1"/>
        <v>0</v>
      </c>
      <c r="L47" s="52">
        <f t="shared" si="2"/>
        <v>0</v>
      </c>
    </row>
    <row r="48" spans="1:12" ht="12.75" customHeight="1">
      <c r="A48" s="64" t="s">
        <v>81</v>
      </c>
      <c r="B48" s="905">
        <v>0</v>
      </c>
      <c r="C48" s="905"/>
      <c r="D48" s="905">
        <v>0</v>
      </c>
      <c r="E48" s="905"/>
      <c r="F48" s="905">
        <v>0</v>
      </c>
      <c r="G48" s="905"/>
      <c r="H48" s="51">
        <f aca="true" t="shared" si="5" ref="H48:H59">IF(D48="",0,IF(D48=0,0,+F48/D48))</f>
        <v>0</v>
      </c>
      <c r="I48" s="905">
        <v>0</v>
      </c>
      <c r="J48" s="905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82</v>
      </c>
      <c r="B49" s="907">
        <f>SUM(B50:C53)</f>
        <v>12000</v>
      </c>
      <c r="C49" s="907"/>
      <c r="D49" s="907">
        <f>SUM(D50:E53)</f>
        <v>12000</v>
      </c>
      <c r="E49" s="907"/>
      <c r="F49" s="907">
        <f>SUM(F50:G53)</f>
        <v>0</v>
      </c>
      <c r="G49" s="907"/>
      <c r="H49" s="48">
        <f t="shared" si="5"/>
        <v>0</v>
      </c>
      <c r="I49" s="907">
        <f>SUM(I50:J53)</f>
        <v>0</v>
      </c>
      <c r="J49" s="907"/>
      <c r="K49" s="48">
        <f t="shared" si="1"/>
        <v>0</v>
      </c>
      <c r="L49" s="49">
        <f t="shared" si="2"/>
        <v>12000</v>
      </c>
    </row>
    <row r="50" spans="1:12" ht="12.75" customHeight="1">
      <c r="A50" s="50" t="s">
        <v>83</v>
      </c>
      <c r="B50" s="920">
        <v>0</v>
      </c>
      <c r="C50" s="920"/>
      <c r="D50" s="920">
        <v>0</v>
      </c>
      <c r="E50" s="920"/>
      <c r="F50" s="920">
        <v>0</v>
      </c>
      <c r="G50" s="920"/>
      <c r="H50" s="51">
        <f t="shared" si="5"/>
        <v>0</v>
      </c>
      <c r="I50" s="920">
        <v>0</v>
      </c>
      <c r="J50" s="920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84</v>
      </c>
      <c r="B51" s="920">
        <v>11000</v>
      </c>
      <c r="C51" s="920"/>
      <c r="D51" s="920">
        <v>11000</v>
      </c>
      <c r="E51" s="920"/>
      <c r="F51" s="920">
        <v>0</v>
      </c>
      <c r="G51" s="920"/>
      <c r="H51" s="51">
        <f t="shared" si="5"/>
        <v>0</v>
      </c>
      <c r="I51" s="920">
        <v>0</v>
      </c>
      <c r="J51" s="920"/>
      <c r="K51" s="51">
        <f t="shared" si="1"/>
        <v>0</v>
      </c>
      <c r="L51" s="52">
        <f t="shared" si="2"/>
        <v>11000</v>
      </c>
    </row>
    <row r="52" spans="1:12" ht="14.25" customHeight="1">
      <c r="A52" s="50" t="s">
        <v>85</v>
      </c>
      <c r="B52" s="920">
        <v>0</v>
      </c>
      <c r="C52" s="920"/>
      <c r="D52" s="920">
        <v>0</v>
      </c>
      <c r="E52" s="920"/>
      <c r="F52" s="920">
        <v>0</v>
      </c>
      <c r="G52" s="920"/>
      <c r="H52" s="51">
        <f t="shared" si="5"/>
        <v>0</v>
      </c>
      <c r="I52" s="920">
        <v>0</v>
      </c>
      <c r="J52" s="920"/>
      <c r="K52" s="51">
        <f t="shared" si="1"/>
        <v>0</v>
      </c>
      <c r="L52" s="52">
        <f t="shared" si="2"/>
        <v>0</v>
      </c>
    </row>
    <row r="53" spans="1:12" ht="14.25" customHeight="1">
      <c r="A53" s="56" t="s">
        <v>86</v>
      </c>
      <c r="B53" s="941">
        <v>1000</v>
      </c>
      <c r="C53" s="941"/>
      <c r="D53" s="941">
        <v>1000</v>
      </c>
      <c r="E53" s="941"/>
      <c r="F53" s="941">
        <v>0</v>
      </c>
      <c r="G53" s="941"/>
      <c r="H53" s="58">
        <f t="shared" si="5"/>
        <v>0</v>
      </c>
      <c r="I53" s="941">
        <v>0</v>
      </c>
      <c r="J53" s="941"/>
      <c r="K53" s="58">
        <f t="shared" si="1"/>
        <v>0</v>
      </c>
      <c r="L53" s="59">
        <f t="shared" si="2"/>
        <v>1000</v>
      </c>
    </row>
    <row r="54" spans="1:12" ht="12.75" customHeight="1">
      <c r="A54" s="44" t="s">
        <v>87</v>
      </c>
      <c r="B54" s="918">
        <f>+B55+B58+B62+B63+B72</f>
        <v>4664000</v>
      </c>
      <c r="C54" s="918"/>
      <c r="D54" s="918">
        <f>+D55+D58+D62+D63+D72</f>
        <v>4664000</v>
      </c>
      <c r="E54" s="918"/>
      <c r="F54" s="918">
        <f>+F55+F58+F62+F63+F72</f>
        <v>0</v>
      </c>
      <c r="G54" s="918"/>
      <c r="H54" s="45">
        <f t="shared" si="5"/>
        <v>0</v>
      </c>
      <c r="I54" s="918">
        <f>+I55+I58+I62+I63+I72</f>
        <v>0</v>
      </c>
      <c r="J54" s="918"/>
      <c r="K54" s="45">
        <f t="shared" si="1"/>
        <v>0</v>
      </c>
      <c r="L54" s="46">
        <f t="shared" si="2"/>
        <v>4664000</v>
      </c>
    </row>
    <row r="55" spans="1:12" ht="12.75" customHeight="1">
      <c r="A55" s="53" t="s">
        <v>88</v>
      </c>
      <c r="B55" s="907">
        <f>SUM(B56:C57)</f>
        <v>200000</v>
      </c>
      <c r="C55" s="907"/>
      <c r="D55" s="907">
        <f>SUM(D56:E57)</f>
        <v>200000</v>
      </c>
      <c r="E55" s="907"/>
      <c r="F55" s="907">
        <f>SUM(F56:G57)</f>
        <v>0</v>
      </c>
      <c r="G55" s="907"/>
      <c r="H55" s="48">
        <f t="shared" si="5"/>
        <v>0</v>
      </c>
      <c r="I55" s="907">
        <f>SUM(I56:J57)</f>
        <v>0</v>
      </c>
      <c r="J55" s="907"/>
      <c r="K55" s="48">
        <f t="shared" si="1"/>
        <v>0</v>
      </c>
      <c r="L55" s="49">
        <f t="shared" si="2"/>
        <v>200000</v>
      </c>
    </row>
    <row r="56" spans="1:12" ht="12.75" customHeight="1">
      <c r="A56" s="50" t="s">
        <v>89</v>
      </c>
      <c r="B56" s="920">
        <v>200000</v>
      </c>
      <c r="C56" s="920"/>
      <c r="D56" s="920">
        <v>200000</v>
      </c>
      <c r="E56" s="920"/>
      <c r="F56" s="905">
        <v>0</v>
      </c>
      <c r="G56" s="905"/>
      <c r="H56" s="51">
        <f t="shared" si="5"/>
        <v>0</v>
      </c>
      <c r="I56" s="905">
        <v>0</v>
      </c>
      <c r="J56" s="905"/>
      <c r="K56" s="51">
        <f t="shared" si="1"/>
        <v>0</v>
      </c>
      <c r="L56" s="52">
        <f t="shared" si="2"/>
        <v>200000</v>
      </c>
    </row>
    <row r="57" spans="1:12" ht="12.75" customHeight="1">
      <c r="A57" s="50" t="s">
        <v>90</v>
      </c>
      <c r="B57" s="920">
        <v>0</v>
      </c>
      <c r="C57" s="920"/>
      <c r="D57" s="920">
        <v>0</v>
      </c>
      <c r="E57" s="920"/>
      <c r="F57" s="905">
        <v>0</v>
      </c>
      <c r="G57" s="905"/>
      <c r="H57" s="51">
        <f t="shared" si="5"/>
        <v>0</v>
      </c>
      <c r="I57" s="905">
        <v>0</v>
      </c>
      <c r="J57" s="905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91</v>
      </c>
      <c r="B58" s="907">
        <f>SUM(B59:C61)</f>
        <v>0</v>
      </c>
      <c r="C58" s="907"/>
      <c r="D58" s="907">
        <f>SUM(D59:E61)</f>
        <v>0</v>
      </c>
      <c r="E58" s="907"/>
      <c r="F58" s="907">
        <f>SUM(F59:G61)</f>
        <v>0</v>
      </c>
      <c r="G58" s="907"/>
      <c r="H58" s="48">
        <f t="shared" si="5"/>
        <v>0</v>
      </c>
      <c r="I58" s="907">
        <f>SUM(I59:J61)</f>
        <v>0</v>
      </c>
      <c r="J58" s="907"/>
      <c r="K58" s="48">
        <f t="shared" si="1"/>
        <v>0</v>
      </c>
      <c r="L58" s="49">
        <f t="shared" si="2"/>
        <v>0</v>
      </c>
    </row>
    <row r="59" spans="1:12" ht="12.75" customHeight="1">
      <c r="A59" s="50" t="s">
        <v>92</v>
      </c>
      <c r="B59" s="905">
        <v>0</v>
      </c>
      <c r="C59" s="905"/>
      <c r="D59" s="905">
        <v>0</v>
      </c>
      <c r="E59" s="905"/>
      <c r="F59" s="905">
        <v>0</v>
      </c>
      <c r="G59" s="905"/>
      <c r="H59" s="51">
        <f t="shared" si="5"/>
        <v>0</v>
      </c>
      <c r="I59" s="905">
        <v>0</v>
      </c>
      <c r="J59" s="905"/>
      <c r="K59" s="51">
        <f t="shared" si="1"/>
        <v>0</v>
      </c>
      <c r="L59" s="52">
        <f t="shared" si="2"/>
        <v>0</v>
      </c>
    </row>
    <row r="60" spans="1:12" ht="12.75" customHeight="1">
      <c r="A60" s="50" t="s">
        <v>93</v>
      </c>
      <c r="B60" s="905">
        <v>0</v>
      </c>
      <c r="C60" s="905"/>
      <c r="D60" s="905">
        <v>0</v>
      </c>
      <c r="E60" s="905"/>
      <c r="F60" s="905">
        <v>0</v>
      </c>
      <c r="G60" s="905"/>
      <c r="H60" s="51">
        <v>0</v>
      </c>
      <c r="I60" s="905">
        <v>0</v>
      </c>
      <c r="J60" s="905"/>
      <c r="K60" s="51">
        <v>0</v>
      </c>
      <c r="L60" s="52">
        <f t="shared" si="2"/>
        <v>0</v>
      </c>
    </row>
    <row r="61" spans="1:12" ht="12.75" customHeight="1">
      <c r="A61" s="50" t="s">
        <v>94</v>
      </c>
      <c r="B61" s="905">
        <v>0</v>
      </c>
      <c r="C61" s="905"/>
      <c r="D61" s="905">
        <v>0</v>
      </c>
      <c r="E61" s="905"/>
      <c r="F61" s="905">
        <v>0</v>
      </c>
      <c r="G61" s="905"/>
      <c r="H61" s="51">
        <f>IF(D61="",0,IF(D61=0,0,+F61/D61))</f>
        <v>0</v>
      </c>
      <c r="I61" s="905">
        <v>0</v>
      </c>
      <c r="J61" s="905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95</v>
      </c>
      <c r="B62" s="905">
        <v>0</v>
      </c>
      <c r="C62" s="905"/>
      <c r="D62" s="905">
        <v>0</v>
      </c>
      <c r="E62" s="905"/>
      <c r="F62" s="905"/>
      <c r="G62" s="905"/>
      <c r="H62" s="48">
        <f>IF(D62="",0,IF(D62=0,0,+F62/D62))</f>
        <v>0</v>
      </c>
      <c r="I62" s="905">
        <v>0</v>
      </c>
      <c r="J62" s="905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96</v>
      </c>
      <c r="B63" s="907">
        <f>SUM(B64:C71)</f>
        <v>4464000</v>
      </c>
      <c r="C63" s="907"/>
      <c r="D63" s="907">
        <f>SUM(D64:E71)</f>
        <v>4464000</v>
      </c>
      <c r="E63" s="907"/>
      <c r="F63" s="907">
        <f>SUM(F64:G71)</f>
        <v>0</v>
      </c>
      <c r="G63" s="907"/>
      <c r="H63" s="48">
        <f>IF(D63="",0,IF(D63=0,0,+F63/D63))</f>
        <v>0</v>
      </c>
      <c r="I63" s="907">
        <f>SUM(I64:J71)</f>
        <v>0</v>
      </c>
      <c r="J63" s="907"/>
      <c r="K63" s="48">
        <f t="shared" si="6"/>
        <v>0</v>
      </c>
      <c r="L63" s="49">
        <f t="shared" si="2"/>
        <v>4464000</v>
      </c>
    </row>
    <row r="64" spans="1:12" ht="12.75" customHeight="1">
      <c r="A64" s="50" t="s">
        <v>74</v>
      </c>
      <c r="B64" s="920">
        <v>3359000</v>
      </c>
      <c r="C64" s="920"/>
      <c r="D64" s="920">
        <v>3359000</v>
      </c>
      <c r="E64" s="920"/>
      <c r="F64" s="920">
        <v>0</v>
      </c>
      <c r="G64" s="920"/>
      <c r="H64" s="51">
        <f>IF(D64="",0,IF(D64=0,0,+F64/D64))</f>
        <v>0</v>
      </c>
      <c r="I64" s="905">
        <v>0</v>
      </c>
      <c r="J64" s="905"/>
      <c r="K64" s="51">
        <f t="shared" si="6"/>
        <v>0</v>
      </c>
      <c r="L64" s="52">
        <f t="shared" si="2"/>
        <v>3359000</v>
      </c>
    </row>
    <row r="65" spans="1:12" ht="12.75" customHeight="1">
      <c r="A65" s="50" t="s">
        <v>75</v>
      </c>
      <c r="B65" s="920">
        <v>1105000</v>
      </c>
      <c r="C65" s="920"/>
      <c r="D65" s="920">
        <v>1105000</v>
      </c>
      <c r="E65" s="920"/>
      <c r="F65" s="920">
        <v>0</v>
      </c>
      <c r="G65" s="920"/>
      <c r="H65" s="51">
        <v>0</v>
      </c>
      <c r="I65" s="905">
        <v>0</v>
      </c>
      <c r="J65" s="905"/>
      <c r="K65" s="51">
        <f t="shared" si="6"/>
        <v>0</v>
      </c>
      <c r="L65" s="52">
        <f t="shared" si="2"/>
        <v>1105000</v>
      </c>
    </row>
    <row r="66" spans="1:12" ht="12.75" customHeight="1">
      <c r="A66" s="50" t="s">
        <v>76</v>
      </c>
      <c r="B66" s="905">
        <v>0</v>
      </c>
      <c r="C66" s="905"/>
      <c r="D66" s="905">
        <v>0</v>
      </c>
      <c r="E66" s="905"/>
      <c r="F66" s="905">
        <v>0</v>
      </c>
      <c r="G66" s="905"/>
      <c r="H66" s="51">
        <v>0</v>
      </c>
      <c r="I66" s="905">
        <v>0</v>
      </c>
      <c r="J66" s="905"/>
      <c r="K66" s="51">
        <f t="shared" si="6"/>
        <v>0</v>
      </c>
      <c r="L66" s="52">
        <f t="shared" si="2"/>
        <v>0</v>
      </c>
    </row>
    <row r="67" spans="1:12" ht="12.75" customHeight="1">
      <c r="A67" s="50" t="s">
        <v>77</v>
      </c>
      <c r="B67" s="905">
        <v>0</v>
      </c>
      <c r="C67" s="905"/>
      <c r="D67" s="905">
        <v>0</v>
      </c>
      <c r="E67" s="905"/>
      <c r="F67" s="905">
        <v>0</v>
      </c>
      <c r="G67" s="905"/>
      <c r="H67" s="51">
        <f aca="true" t="shared" si="7" ref="H67:H77">IF(D67="",0,IF(D67=0,0,+F67/D67))</f>
        <v>0</v>
      </c>
      <c r="I67" s="905">
        <v>0</v>
      </c>
      <c r="J67" s="905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78</v>
      </c>
      <c r="B68" s="905">
        <v>0</v>
      </c>
      <c r="C68" s="905"/>
      <c r="D68" s="905">
        <v>0</v>
      </c>
      <c r="E68" s="905"/>
      <c r="F68" s="905">
        <v>0</v>
      </c>
      <c r="G68" s="905"/>
      <c r="H68" s="51">
        <f t="shared" si="7"/>
        <v>0</v>
      </c>
      <c r="I68" s="905">
        <v>0</v>
      </c>
      <c r="J68" s="905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97</v>
      </c>
      <c r="B69" s="905">
        <v>0</v>
      </c>
      <c r="C69" s="905"/>
      <c r="D69" s="905">
        <v>0</v>
      </c>
      <c r="E69" s="905"/>
      <c r="F69" s="905">
        <v>0</v>
      </c>
      <c r="G69" s="905"/>
      <c r="H69" s="51">
        <f t="shared" si="7"/>
        <v>0</v>
      </c>
      <c r="I69" s="905">
        <v>0</v>
      </c>
      <c r="J69" s="905"/>
      <c r="K69" s="51">
        <f t="shared" si="6"/>
        <v>0</v>
      </c>
      <c r="L69" s="52">
        <f t="shared" si="2"/>
        <v>0</v>
      </c>
    </row>
    <row r="70" spans="1:12" ht="12.75" customHeight="1">
      <c r="A70" s="65" t="s">
        <v>98</v>
      </c>
      <c r="B70" s="905">
        <v>0</v>
      </c>
      <c r="C70" s="905"/>
      <c r="D70" s="905">
        <v>0</v>
      </c>
      <c r="E70" s="905"/>
      <c r="F70" s="905">
        <v>0</v>
      </c>
      <c r="G70" s="905"/>
      <c r="H70" s="51">
        <f t="shared" si="7"/>
        <v>0</v>
      </c>
      <c r="I70" s="905">
        <v>0</v>
      </c>
      <c r="J70" s="905"/>
      <c r="K70" s="51">
        <f t="shared" si="6"/>
        <v>0</v>
      </c>
      <c r="L70" s="52">
        <f t="shared" si="2"/>
        <v>0</v>
      </c>
    </row>
    <row r="71" spans="1:12" ht="12.75" customHeight="1">
      <c r="A71" s="65" t="s">
        <v>81</v>
      </c>
      <c r="B71" s="905">
        <v>0</v>
      </c>
      <c r="C71" s="905"/>
      <c r="D71" s="905">
        <v>0</v>
      </c>
      <c r="E71" s="905"/>
      <c r="F71" s="905">
        <v>0</v>
      </c>
      <c r="G71" s="905"/>
      <c r="H71" s="51">
        <f t="shared" si="7"/>
        <v>0</v>
      </c>
      <c r="I71" s="905">
        <v>0</v>
      </c>
      <c r="J71" s="905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99</v>
      </c>
      <c r="B72" s="907">
        <f>SUM(B73:C76)</f>
        <v>0</v>
      </c>
      <c r="C72" s="907"/>
      <c r="D72" s="907">
        <f>SUM(D73:E76)</f>
        <v>0</v>
      </c>
      <c r="E72" s="907"/>
      <c r="F72" s="907">
        <f>SUM(F73:G76)</f>
        <v>0</v>
      </c>
      <c r="G72" s="907"/>
      <c r="H72" s="48">
        <f t="shared" si="7"/>
        <v>0</v>
      </c>
      <c r="I72" s="907">
        <f>SUM(I73:J76)</f>
        <v>0</v>
      </c>
      <c r="J72" s="907"/>
      <c r="K72" s="48">
        <f t="shared" si="6"/>
        <v>0</v>
      </c>
      <c r="L72" s="49">
        <f t="shared" si="2"/>
        <v>0</v>
      </c>
    </row>
    <row r="73" spans="1:12" ht="12.75" customHeight="1">
      <c r="A73" s="50" t="s">
        <v>100</v>
      </c>
      <c r="B73" s="905">
        <v>0</v>
      </c>
      <c r="C73" s="905"/>
      <c r="D73" s="905">
        <v>0</v>
      </c>
      <c r="E73" s="905"/>
      <c r="F73" s="905">
        <v>0</v>
      </c>
      <c r="G73" s="905"/>
      <c r="H73" s="51">
        <f t="shared" si="7"/>
        <v>0</v>
      </c>
      <c r="I73" s="905">
        <v>0</v>
      </c>
      <c r="J73" s="905"/>
      <c r="K73" s="51">
        <f t="shared" si="6"/>
        <v>0</v>
      </c>
      <c r="L73" s="52">
        <f t="shared" si="2"/>
        <v>0</v>
      </c>
    </row>
    <row r="74" spans="1:12" ht="14.25" customHeight="1">
      <c r="A74" s="66" t="s">
        <v>101</v>
      </c>
      <c r="B74" s="905">
        <v>0</v>
      </c>
      <c r="C74" s="905"/>
      <c r="D74" s="905">
        <v>0</v>
      </c>
      <c r="E74" s="905"/>
      <c r="F74" s="905">
        <v>0</v>
      </c>
      <c r="G74" s="905"/>
      <c r="H74" s="51">
        <f t="shared" si="7"/>
        <v>0</v>
      </c>
      <c r="I74" s="905">
        <v>0</v>
      </c>
      <c r="J74" s="905"/>
      <c r="K74" s="51">
        <f t="shared" si="6"/>
        <v>0</v>
      </c>
      <c r="L74" s="52">
        <f t="shared" si="2"/>
        <v>0</v>
      </c>
    </row>
    <row r="75" spans="1:12" ht="14.25" customHeight="1">
      <c r="A75" s="65" t="s">
        <v>102</v>
      </c>
      <c r="B75" s="939">
        <v>0</v>
      </c>
      <c r="C75" s="939"/>
      <c r="D75" s="912">
        <v>0</v>
      </c>
      <c r="E75" s="912"/>
      <c r="F75" s="912">
        <v>0</v>
      </c>
      <c r="G75" s="912"/>
      <c r="H75" s="51">
        <f t="shared" si="7"/>
        <v>0</v>
      </c>
      <c r="I75" s="912">
        <v>0</v>
      </c>
      <c r="J75" s="912"/>
      <c r="K75" s="51">
        <f t="shared" si="6"/>
        <v>0</v>
      </c>
      <c r="L75" s="52">
        <f t="shared" si="2"/>
        <v>0</v>
      </c>
    </row>
    <row r="76" spans="1:12" ht="14.25" customHeight="1">
      <c r="A76" s="65" t="s">
        <v>103</v>
      </c>
      <c r="B76" s="939">
        <v>0</v>
      </c>
      <c r="C76" s="939"/>
      <c r="D76" s="67">
        <v>0</v>
      </c>
      <c r="E76" s="68">
        <v>0</v>
      </c>
      <c r="F76" s="912">
        <v>0</v>
      </c>
      <c r="G76" s="912"/>
      <c r="H76" s="51">
        <f t="shared" si="7"/>
        <v>0</v>
      </c>
      <c r="I76" s="912">
        <v>0</v>
      </c>
      <c r="J76" s="912"/>
      <c r="K76" s="51">
        <f t="shared" si="6"/>
        <v>0</v>
      </c>
      <c r="L76" s="52">
        <f t="shared" si="2"/>
        <v>0</v>
      </c>
    </row>
    <row r="77" spans="1:12" ht="14.25" customHeight="1">
      <c r="A77" s="69" t="s">
        <v>104</v>
      </c>
      <c r="B77" s="940">
        <f>+B127</f>
        <v>0</v>
      </c>
      <c r="C77" s="940"/>
      <c r="D77" s="940">
        <f>+D127</f>
        <v>0</v>
      </c>
      <c r="E77" s="940"/>
      <c r="F77" s="940">
        <f>+F127</f>
        <v>0</v>
      </c>
      <c r="G77" s="940"/>
      <c r="H77" s="70">
        <f t="shared" si="7"/>
        <v>0</v>
      </c>
      <c r="I77" s="940">
        <f>+I127</f>
        <v>0</v>
      </c>
      <c r="J77" s="940"/>
      <c r="K77" s="70">
        <f t="shared" si="6"/>
        <v>0</v>
      </c>
      <c r="L77" s="71">
        <f>+L127</f>
        <v>0</v>
      </c>
    </row>
    <row r="78" spans="1:12" ht="12.75" customHeight="1">
      <c r="A78" s="72" t="s">
        <v>105</v>
      </c>
      <c r="B78" s="928">
        <f>+B13+B77</f>
        <v>37959000</v>
      </c>
      <c r="C78" s="928"/>
      <c r="D78" s="928">
        <f>+D13+D77</f>
        <v>37959000</v>
      </c>
      <c r="E78" s="928"/>
      <c r="F78" s="928">
        <f>+F13+F77</f>
        <v>3097950.79</v>
      </c>
      <c r="G78" s="928"/>
      <c r="H78" s="73"/>
      <c r="I78" s="928">
        <f>+I13+I77</f>
        <v>10181148.61</v>
      </c>
      <c r="J78" s="928"/>
      <c r="K78" s="73"/>
      <c r="L78" s="74">
        <f>+L13+L77</f>
        <v>27777851.39</v>
      </c>
    </row>
    <row r="79" spans="1:12" ht="14.25" customHeight="1">
      <c r="A79" s="75" t="s">
        <v>106</v>
      </c>
      <c r="B79" s="938">
        <f>+B80+B83</f>
        <v>0</v>
      </c>
      <c r="C79" s="938"/>
      <c r="D79" s="938">
        <f>+D80+D83</f>
        <v>0</v>
      </c>
      <c r="E79" s="938"/>
      <c r="F79" s="938">
        <f>+F80+F83</f>
        <v>0</v>
      </c>
      <c r="G79" s="938"/>
      <c r="H79" s="70">
        <f aca="true" t="shared" si="8" ref="H79:H85">IF(D79="",0,IF(D79=0,0,+F79/D79))</f>
        <v>0</v>
      </c>
      <c r="I79" s="938">
        <f>+I80+I83</f>
        <v>0</v>
      </c>
      <c r="J79" s="938"/>
      <c r="K79" s="70">
        <f aca="true" t="shared" si="9" ref="K79:K85">IF(D79="",0,IF(D79=0,0,I79/D79))</f>
        <v>0</v>
      </c>
      <c r="L79" s="77">
        <f aca="true" t="shared" si="10" ref="L79:L86">+D79-I79</f>
        <v>0</v>
      </c>
    </row>
    <row r="80" spans="1:12" ht="12.75" customHeight="1">
      <c r="A80" s="44" t="s">
        <v>107</v>
      </c>
      <c r="B80" s="918">
        <f>SUM(B81:C82)</f>
        <v>0</v>
      </c>
      <c r="C80" s="918"/>
      <c r="D80" s="918">
        <f>SUM(D81:E82)</f>
        <v>0</v>
      </c>
      <c r="E80" s="918"/>
      <c r="F80" s="918">
        <f>SUM(F81:G82)</f>
        <v>0</v>
      </c>
      <c r="G80" s="918"/>
      <c r="H80" s="78">
        <f t="shared" si="8"/>
        <v>0</v>
      </c>
      <c r="I80" s="918">
        <f>SUM(I81:J82)</f>
        <v>0</v>
      </c>
      <c r="J80" s="918"/>
      <c r="K80" s="78">
        <f t="shared" si="9"/>
        <v>0</v>
      </c>
      <c r="L80" s="46">
        <f t="shared" si="10"/>
        <v>0</v>
      </c>
    </row>
    <row r="81" spans="1:12" ht="12.75" customHeight="1">
      <c r="A81" s="50" t="s">
        <v>108</v>
      </c>
      <c r="B81" s="905">
        <v>0</v>
      </c>
      <c r="C81" s="905"/>
      <c r="D81" s="905">
        <v>0</v>
      </c>
      <c r="E81" s="905"/>
      <c r="F81" s="905">
        <v>0</v>
      </c>
      <c r="G81" s="905"/>
      <c r="H81" s="51">
        <f t="shared" si="8"/>
        <v>0</v>
      </c>
      <c r="I81" s="905">
        <v>0</v>
      </c>
      <c r="J81" s="905"/>
      <c r="K81" s="51">
        <f t="shared" si="9"/>
        <v>0</v>
      </c>
      <c r="L81" s="52">
        <f t="shared" si="10"/>
        <v>0</v>
      </c>
    </row>
    <row r="82" spans="1:12" ht="12.75" customHeight="1">
      <c r="A82" s="79" t="s">
        <v>109</v>
      </c>
      <c r="B82" s="905">
        <v>0</v>
      </c>
      <c r="C82" s="905"/>
      <c r="D82" s="905">
        <v>0</v>
      </c>
      <c r="E82" s="905"/>
      <c r="F82" s="905">
        <v>0</v>
      </c>
      <c r="G82" s="905"/>
      <c r="H82" s="51">
        <f t="shared" si="8"/>
        <v>0</v>
      </c>
      <c r="I82" s="905">
        <v>0</v>
      </c>
      <c r="J82" s="905"/>
      <c r="K82" s="51">
        <f t="shared" si="9"/>
        <v>0</v>
      </c>
      <c r="L82" s="52">
        <f t="shared" si="10"/>
        <v>0</v>
      </c>
    </row>
    <row r="83" spans="1:12" ht="12.75" customHeight="1">
      <c r="A83" s="44" t="s">
        <v>110</v>
      </c>
      <c r="B83" s="918">
        <f>SUM(B84:C85)</f>
        <v>0</v>
      </c>
      <c r="C83" s="918"/>
      <c r="D83" s="918">
        <f>SUM(D84:E85)</f>
        <v>0</v>
      </c>
      <c r="E83" s="918"/>
      <c r="F83" s="918">
        <f>SUM(F84:G85)</f>
        <v>0</v>
      </c>
      <c r="G83" s="918"/>
      <c r="H83" s="78">
        <f t="shared" si="8"/>
        <v>0</v>
      </c>
      <c r="I83" s="918">
        <f>SUM(I84:J85)</f>
        <v>0</v>
      </c>
      <c r="J83" s="918"/>
      <c r="K83" s="78">
        <f t="shared" si="9"/>
        <v>0</v>
      </c>
      <c r="L83" s="46">
        <f t="shared" si="10"/>
        <v>0</v>
      </c>
    </row>
    <row r="84" spans="1:12" ht="12.75" customHeight="1">
      <c r="A84" s="50" t="s">
        <v>108</v>
      </c>
      <c r="B84" s="905">
        <v>0</v>
      </c>
      <c r="C84" s="905"/>
      <c r="D84" s="905">
        <v>0</v>
      </c>
      <c r="E84" s="905"/>
      <c r="F84" s="905">
        <v>0</v>
      </c>
      <c r="G84" s="905"/>
      <c r="H84" s="51">
        <f t="shared" si="8"/>
        <v>0</v>
      </c>
      <c r="I84" s="905">
        <v>0</v>
      </c>
      <c r="J84" s="905"/>
      <c r="K84" s="51">
        <f t="shared" si="9"/>
        <v>0</v>
      </c>
      <c r="L84" s="52">
        <f t="shared" si="10"/>
        <v>0</v>
      </c>
    </row>
    <row r="85" spans="1:12" ht="12.75" customHeight="1">
      <c r="A85" s="79" t="s">
        <v>109</v>
      </c>
      <c r="B85" s="905">
        <v>0</v>
      </c>
      <c r="C85" s="905"/>
      <c r="D85" s="905">
        <v>0</v>
      </c>
      <c r="E85" s="905"/>
      <c r="F85" s="905">
        <v>0</v>
      </c>
      <c r="G85" s="905"/>
      <c r="H85" s="51">
        <f t="shared" si="8"/>
        <v>0</v>
      </c>
      <c r="I85" s="905">
        <v>0</v>
      </c>
      <c r="J85" s="905"/>
      <c r="K85" s="51">
        <f t="shared" si="9"/>
        <v>0</v>
      </c>
      <c r="L85" s="52">
        <f t="shared" si="10"/>
        <v>0</v>
      </c>
    </row>
    <row r="86" spans="1:12" ht="14.25" customHeight="1">
      <c r="A86" s="72" t="s">
        <v>111</v>
      </c>
      <c r="B86" s="928">
        <f>+B78+B79</f>
        <v>37959000</v>
      </c>
      <c r="C86" s="928"/>
      <c r="D86" s="928">
        <f>+D78+D79</f>
        <v>37959000</v>
      </c>
      <c r="E86" s="928"/>
      <c r="F86" s="928">
        <f>+F78+F79</f>
        <v>3097950.79</v>
      </c>
      <c r="G86" s="928"/>
      <c r="H86" s="73"/>
      <c r="I86" s="928">
        <f>+I78+I79</f>
        <v>10181148.61</v>
      </c>
      <c r="J86" s="928"/>
      <c r="K86" s="73"/>
      <c r="L86" s="74">
        <f t="shared" si="10"/>
        <v>27777851.39</v>
      </c>
    </row>
    <row r="87" spans="1:12" ht="12.75" customHeight="1">
      <c r="A87" s="80" t="s">
        <v>112</v>
      </c>
      <c r="B87" s="929"/>
      <c r="C87" s="929"/>
      <c r="D87" s="929"/>
      <c r="E87" s="929"/>
      <c r="F87" s="929"/>
      <c r="G87" s="929"/>
      <c r="H87" s="73"/>
      <c r="I87" s="937">
        <f>IF(A7="6º Bimestre de 2017",IF(I86-ABS(E117)&lt;0,ABS(E117)-I86,0),IF(I86-ABS(H117)&lt;0,ABS(H117)-I86,0))</f>
        <v>0</v>
      </c>
      <c r="J87" s="937"/>
      <c r="K87" s="73"/>
      <c r="L87" s="82"/>
    </row>
    <row r="88" spans="1:12" ht="12.75" customHeight="1">
      <c r="A88" s="83" t="s">
        <v>113</v>
      </c>
      <c r="B88" s="935">
        <f>+B86</f>
        <v>37959000</v>
      </c>
      <c r="C88" s="935"/>
      <c r="D88" s="935">
        <f>+D86</f>
        <v>37959000</v>
      </c>
      <c r="E88" s="935"/>
      <c r="F88" s="935">
        <f>+F86</f>
        <v>3097950.79</v>
      </c>
      <c r="G88" s="935"/>
      <c r="H88" s="73"/>
      <c r="I88" s="935">
        <f>+I87+I86</f>
        <v>10181148.61</v>
      </c>
      <c r="J88" s="935"/>
      <c r="K88" s="73"/>
      <c r="L88" s="84">
        <f>+D88-I88</f>
        <v>27777851.39</v>
      </c>
    </row>
    <row r="89" spans="1:12" ht="14.25" customHeight="1">
      <c r="A89" s="85" t="s">
        <v>114</v>
      </c>
      <c r="B89" s="934">
        <v>0</v>
      </c>
      <c r="C89" s="934"/>
      <c r="D89" s="934">
        <v>0</v>
      </c>
      <c r="E89" s="934"/>
      <c r="F89" s="929"/>
      <c r="G89" s="929"/>
      <c r="H89" s="73"/>
      <c r="I89" s="936">
        <v>0</v>
      </c>
      <c r="J89" s="936"/>
      <c r="K89" s="73"/>
      <c r="L89" s="81"/>
    </row>
    <row r="90" spans="1:12" ht="14.25" customHeight="1">
      <c r="A90" s="86" t="s">
        <v>115</v>
      </c>
      <c r="B90" s="934">
        <v>0</v>
      </c>
      <c r="C90" s="934"/>
      <c r="D90" s="934">
        <v>0</v>
      </c>
      <c r="E90" s="934"/>
      <c r="F90" s="929"/>
      <c r="G90" s="929"/>
      <c r="H90" s="73"/>
      <c r="I90" s="929"/>
      <c r="J90" s="929"/>
      <c r="K90" s="73"/>
      <c r="L90" s="81"/>
    </row>
    <row r="91" spans="1:12" ht="12.75" customHeight="1">
      <c r="A91" s="86" t="s">
        <v>116</v>
      </c>
      <c r="B91" s="929"/>
      <c r="C91" s="929"/>
      <c r="D91" s="934">
        <v>0</v>
      </c>
      <c r="E91" s="934"/>
      <c r="F91" s="929"/>
      <c r="G91" s="929"/>
      <c r="H91" s="73"/>
      <c r="I91" s="934">
        <v>0</v>
      </c>
      <c r="J91" s="934"/>
      <c r="K91" s="73"/>
      <c r="L91" s="81"/>
    </row>
    <row r="92" spans="1:12" ht="12.75" customHeight="1">
      <c r="A92" s="86"/>
      <c r="B92" s="929"/>
      <c r="C92" s="929"/>
      <c r="D92" s="934">
        <v>0</v>
      </c>
      <c r="E92" s="934"/>
      <c r="F92" s="929"/>
      <c r="G92" s="929"/>
      <c r="H92" s="73"/>
      <c r="I92" s="934">
        <v>0</v>
      </c>
      <c r="J92" s="934"/>
      <c r="K92" s="73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914" t="s">
        <v>117</v>
      </c>
      <c r="C94" s="914" t="s">
        <v>118</v>
      </c>
      <c r="D94" s="916" t="s">
        <v>119</v>
      </c>
      <c r="E94" s="916"/>
      <c r="F94" s="88" t="s">
        <v>36</v>
      </c>
      <c r="G94" s="916" t="s">
        <v>120</v>
      </c>
      <c r="H94" s="916"/>
      <c r="I94" s="915" t="s">
        <v>36</v>
      </c>
      <c r="J94" s="914" t="s">
        <v>121</v>
      </c>
      <c r="K94" s="908" t="s">
        <v>122</v>
      </c>
      <c r="L94" s="908"/>
    </row>
    <row r="95" spans="1:12" ht="14.25" customHeight="1">
      <c r="A95" s="89" t="s">
        <v>123</v>
      </c>
      <c r="B95" s="914"/>
      <c r="C95" s="914"/>
      <c r="D95" s="909" t="s">
        <v>37</v>
      </c>
      <c r="E95" s="933" t="s">
        <v>39</v>
      </c>
      <c r="F95" s="90"/>
      <c r="G95" s="909" t="s">
        <v>37</v>
      </c>
      <c r="H95" s="933" t="s">
        <v>39</v>
      </c>
      <c r="I95" s="915"/>
      <c r="J95" s="914"/>
      <c r="K95" s="908"/>
      <c r="L95" s="908"/>
    </row>
    <row r="96" spans="1:12" ht="14.25" customHeight="1">
      <c r="A96" s="91"/>
      <c r="B96" s="914"/>
      <c r="C96" s="914"/>
      <c r="D96" s="914"/>
      <c r="E96" s="933"/>
      <c r="F96" s="90"/>
      <c r="G96" s="909"/>
      <c r="H96" s="933"/>
      <c r="I96" s="915"/>
      <c r="J96" s="914"/>
      <c r="K96" s="908"/>
      <c r="L96" s="908"/>
    </row>
    <row r="97" spans="1:12" ht="12.75" customHeight="1">
      <c r="A97" s="92"/>
      <c r="B97" s="93" t="s">
        <v>124</v>
      </c>
      <c r="C97" s="93" t="s">
        <v>125</v>
      </c>
      <c r="D97" s="909"/>
      <c r="E97" s="93" t="s">
        <v>126</v>
      </c>
      <c r="F97" s="94" t="s">
        <v>127</v>
      </c>
      <c r="G97" s="909"/>
      <c r="H97" s="93" t="s">
        <v>128</v>
      </c>
      <c r="I97" s="93" t="s">
        <v>129</v>
      </c>
      <c r="J97" s="93" t="s">
        <v>130</v>
      </c>
      <c r="K97" s="910" t="s">
        <v>131</v>
      </c>
      <c r="L97" s="910"/>
    </row>
    <row r="98" spans="1:12" ht="12.75" customHeight="1">
      <c r="A98" s="95" t="s">
        <v>132</v>
      </c>
      <c r="B98" s="76">
        <f aca="true" t="shared" si="11" ref="B98:K98">+B99+B103+B107</f>
        <v>37959000</v>
      </c>
      <c r="C98" s="76">
        <f t="shared" si="11"/>
        <v>37959000</v>
      </c>
      <c r="D98" s="76">
        <f t="shared" si="11"/>
        <v>4216684.41</v>
      </c>
      <c r="E98" s="76">
        <f t="shared" si="11"/>
        <v>11812569.56</v>
      </c>
      <c r="F98" s="76">
        <f t="shared" si="11"/>
        <v>26146430.439999998</v>
      </c>
      <c r="G98" s="76">
        <f t="shared" si="11"/>
        <v>3158931.98</v>
      </c>
      <c r="H98" s="76">
        <f t="shared" si="11"/>
        <v>8756997.36</v>
      </c>
      <c r="I98" s="76">
        <f t="shared" si="11"/>
        <v>29202002.639999997</v>
      </c>
      <c r="J98" s="76">
        <f t="shared" si="11"/>
        <v>8756997.36</v>
      </c>
      <c r="K98" s="922">
        <f t="shared" si="11"/>
        <v>0</v>
      </c>
      <c r="L98" s="922"/>
    </row>
    <row r="99" spans="1:12" ht="12.75" customHeight="1">
      <c r="A99" s="96" t="s">
        <v>133</v>
      </c>
      <c r="B99" s="46">
        <f aca="true" t="shared" si="12" ref="B99:K99">SUM(B100:B102)</f>
        <v>26034000</v>
      </c>
      <c r="C99" s="46">
        <f t="shared" si="12"/>
        <v>28078466.54</v>
      </c>
      <c r="D99" s="46">
        <f t="shared" si="12"/>
        <v>3689261.42</v>
      </c>
      <c r="E99" s="46">
        <f t="shared" si="12"/>
        <v>11126764.870000001</v>
      </c>
      <c r="F99" s="46">
        <f t="shared" si="12"/>
        <v>16951701.669999998</v>
      </c>
      <c r="G99" s="46">
        <f t="shared" si="12"/>
        <v>3158931.98</v>
      </c>
      <c r="H99" s="46">
        <f t="shared" si="12"/>
        <v>8640592.36</v>
      </c>
      <c r="I99" s="46">
        <f t="shared" si="12"/>
        <v>19437874.18</v>
      </c>
      <c r="J99" s="46">
        <f t="shared" si="12"/>
        <v>8640592.36</v>
      </c>
      <c r="K99" s="918">
        <f t="shared" si="12"/>
        <v>0</v>
      </c>
      <c r="L99" s="918"/>
    </row>
    <row r="100" spans="1:12" s="34" customFormat="1" ht="12.75" customHeight="1">
      <c r="A100" s="97" t="s">
        <v>134</v>
      </c>
      <c r="B100" s="98">
        <v>15894000</v>
      </c>
      <c r="C100" s="98">
        <v>15822267.02</v>
      </c>
      <c r="D100" s="98">
        <v>2374164.25</v>
      </c>
      <c r="E100" s="98">
        <v>6555468.51</v>
      </c>
      <c r="F100" s="49">
        <f>+C100-E100</f>
        <v>9266798.51</v>
      </c>
      <c r="G100" s="99">
        <v>2374164.25</v>
      </c>
      <c r="H100" s="99">
        <v>6555468.51</v>
      </c>
      <c r="I100" s="100">
        <f aca="true" t="shared" si="13" ref="I100:I107">+C100-H100</f>
        <v>9266798.51</v>
      </c>
      <c r="J100" s="98">
        <v>6555468.51</v>
      </c>
      <c r="K100" s="931">
        <v>0</v>
      </c>
      <c r="L100" s="931"/>
    </row>
    <row r="101" spans="1:12" ht="12.75" customHeight="1">
      <c r="A101" s="97" t="s">
        <v>135</v>
      </c>
      <c r="B101" s="98">
        <v>238000</v>
      </c>
      <c r="C101" s="98">
        <v>247876.48</v>
      </c>
      <c r="D101" s="98">
        <v>0</v>
      </c>
      <c r="E101" s="98">
        <v>24875.48</v>
      </c>
      <c r="F101" s="49">
        <f>+C101-E101</f>
        <v>223001</v>
      </c>
      <c r="G101" s="99">
        <v>0</v>
      </c>
      <c r="H101" s="99">
        <v>24875.48</v>
      </c>
      <c r="I101" s="100">
        <f t="shared" si="13"/>
        <v>223001</v>
      </c>
      <c r="J101" s="98">
        <v>24875.48</v>
      </c>
      <c r="K101" s="931">
        <v>0</v>
      </c>
      <c r="L101" s="931"/>
    </row>
    <row r="102" spans="1:12" ht="12.75" customHeight="1">
      <c r="A102" s="97" t="s">
        <v>136</v>
      </c>
      <c r="B102" s="98">
        <v>9902000</v>
      </c>
      <c r="C102" s="98">
        <v>12008323.04</v>
      </c>
      <c r="D102" s="98">
        <v>1315097.17</v>
      </c>
      <c r="E102" s="98">
        <v>4546420.88</v>
      </c>
      <c r="F102" s="49">
        <f>+C102-E102</f>
        <v>7461902.159999999</v>
      </c>
      <c r="G102" s="99">
        <v>784767.73</v>
      </c>
      <c r="H102" s="99">
        <v>2060248.37</v>
      </c>
      <c r="I102" s="100">
        <f t="shared" si="13"/>
        <v>9948074.669999998</v>
      </c>
      <c r="J102" s="98">
        <v>2060248.37</v>
      </c>
      <c r="K102" s="931">
        <v>0</v>
      </c>
      <c r="L102" s="931"/>
    </row>
    <row r="103" spans="1:12" s="34" customFormat="1" ht="12.75" customHeight="1">
      <c r="A103" s="96" t="s">
        <v>137</v>
      </c>
      <c r="B103" s="46">
        <f aca="true" t="shared" si="14" ref="B103:H103">SUM(B104:B106)</f>
        <v>8560000</v>
      </c>
      <c r="C103" s="46">
        <f t="shared" si="14"/>
        <v>7981790.31</v>
      </c>
      <c r="D103" s="46">
        <f t="shared" si="14"/>
        <v>527422.99</v>
      </c>
      <c r="E103" s="46">
        <f t="shared" si="14"/>
        <v>685804.69</v>
      </c>
      <c r="F103" s="46">
        <f t="shared" si="14"/>
        <v>7295985.619999999</v>
      </c>
      <c r="G103" s="46">
        <f t="shared" si="14"/>
        <v>0</v>
      </c>
      <c r="H103" s="46">
        <f t="shared" si="14"/>
        <v>116405</v>
      </c>
      <c r="I103" s="46">
        <f t="shared" si="13"/>
        <v>7865385.31</v>
      </c>
      <c r="J103" s="46">
        <f>SUM(J104:J106)</f>
        <v>116405</v>
      </c>
      <c r="K103" s="918">
        <f>SUM(K104:K106)</f>
        <v>0</v>
      </c>
      <c r="L103" s="918"/>
    </row>
    <row r="104" spans="1:12" ht="12.75" customHeight="1">
      <c r="A104" s="97" t="s">
        <v>138</v>
      </c>
      <c r="B104" s="98">
        <v>8175000</v>
      </c>
      <c r="C104" s="98">
        <v>7596790.31</v>
      </c>
      <c r="D104" s="98">
        <v>527422.99</v>
      </c>
      <c r="E104" s="98">
        <v>685804.69</v>
      </c>
      <c r="F104" s="49">
        <f>+C104-E104</f>
        <v>6910985.619999999</v>
      </c>
      <c r="G104" s="99">
        <v>0</v>
      </c>
      <c r="H104" s="99">
        <v>116405</v>
      </c>
      <c r="I104" s="100">
        <f t="shared" si="13"/>
        <v>7480385.31</v>
      </c>
      <c r="J104" s="98">
        <v>116405</v>
      </c>
      <c r="K104" s="931">
        <v>0</v>
      </c>
      <c r="L104" s="931"/>
    </row>
    <row r="105" spans="1:12" ht="12.75" customHeight="1">
      <c r="A105" s="97" t="s">
        <v>139</v>
      </c>
      <c r="B105" s="98">
        <v>0</v>
      </c>
      <c r="C105" s="98">
        <v>0</v>
      </c>
      <c r="D105" s="98">
        <v>0</v>
      </c>
      <c r="E105" s="98">
        <v>0</v>
      </c>
      <c r="F105" s="49">
        <f>+C105-E105</f>
        <v>0</v>
      </c>
      <c r="G105" s="99">
        <v>0</v>
      </c>
      <c r="H105" s="99">
        <v>0</v>
      </c>
      <c r="I105" s="100">
        <f t="shared" si="13"/>
        <v>0</v>
      </c>
      <c r="J105" s="98">
        <v>0</v>
      </c>
      <c r="K105" s="931">
        <v>0</v>
      </c>
      <c r="L105" s="931"/>
    </row>
    <row r="106" spans="1:12" ht="12.75" customHeight="1">
      <c r="A106" s="97" t="s">
        <v>140</v>
      </c>
      <c r="B106" s="98">
        <v>385000</v>
      </c>
      <c r="C106" s="98">
        <v>385000</v>
      </c>
      <c r="D106" s="98">
        <v>0</v>
      </c>
      <c r="E106" s="98">
        <v>0</v>
      </c>
      <c r="F106" s="49">
        <f>+C106-E106</f>
        <v>385000</v>
      </c>
      <c r="G106" s="99">
        <v>0</v>
      </c>
      <c r="H106" s="99">
        <v>0</v>
      </c>
      <c r="I106" s="100">
        <f t="shared" si="13"/>
        <v>385000</v>
      </c>
      <c r="J106" s="98">
        <v>0</v>
      </c>
      <c r="K106" s="931">
        <v>0</v>
      </c>
      <c r="L106" s="931"/>
    </row>
    <row r="107" spans="1:13" ht="12.75" customHeight="1">
      <c r="A107" s="96" t="s">
        <v>141</v>
      </c>
      <c r="B107" s="98">
        <v>3365000</v>
      </c>
      <c r="C107" s="98">
        <v>1898743.15</v>
      </c>
      <c r="D107" s="81"/>
      <c r="E107" s="81"/>
      <c r="F107" s="101">
        <f>+C107-E107</f>
        <v>1898743.15</v>
      </c>
      <c r="G107" s="81"/>
      <c r="H107" s="81"/>
      <c r="I107" s="101">
        <f t="shared" si="13"/>
        <v>1898743.15</v>
      </c>
      <c r="J107" s="81"/>
      <c r="K107" s="929"/>
      <c r="L107" s="929"/>
      <c r="M107" s="102"/>
    </row>
    <row r="108" spans="1:12" ht="12.75" customHeight="1">
      <c r="A108" s="103" t="s">
        <v>142</v>
      </c>
      <c r="B108" s="104">
        <f aca="true" t="shared" si="15" ref="B108:K108">+B195</f>
        <v>0</v>
      </c>
      <c r="C108" s="104">
        <f t="shared" si="15"/>
        <v>0</v>
      </c>
      <c r="D108" s="104">
        <f t="shared" si="15"/>
        <v>0</v>
      </c>
      <c r="E108" s="104">
        <f t="shared" si="15"/>
        <v>0</v>
      </c>
      <c r="F108" s="104">
        <f t="shared" si="15"/>
        <v>0</v>
      </c>
      <c r="G108" s="104">
        <f t="shared" si="15"/>
        <v>0</v>
      </c>
      <c r="H108" s="104">
        <f t="shared" si="15"/>
        <v>0</v>
      </c>
      <c r="I108" s="104">
        <f t="shared" si="15"/>
        <v>0</v>
      </c>
      <c r="J108" s="104">
        <f t="shared" si="15"/>
        <v>0</v>
      </c>
      <c r="K108" s="922">
        <f t="shared" si="15"/>
        <v>0</v>
      </c>
      <c r="L108" s="922"/>
    </row>
    <row r="109" spans="1:12" ht="12.75" customHeight="1">
      <c r="A109" s="105" t="s">
        <v>143</v>
      </c>
      <c r="B109" s="106">
        <f aca="true" t="shared" si="16" ref="B109:K109">+B98+B108</f>
        <v>37959000</v>
      </c>
      <c r="C109" s="106">
        <f t="shared" si="16"/>
        <v>37959000</v>
      </c>
      <c r="D109" s="106">
        <f t="shared" si="16"/>
        <v>4216684.41</v>
      </c>
      <c r="E109" s="106">
        <f t="shared" si="16"/>
        <v>11812569.56</v>
      </c>
      <c r="F109" s="106">
        <f t="shared" si="16"/>
        <v>26146430.439999998</v>
      </c>
      <c r="G109" s="106">
        <f t="shared" si="16"/>
        <v>3158931.98</v>
      </c>
      <c r="H109" s="106">
        <f t="shared" si="16"/>
        <v>8756997.36</v>
      </c>
      <c r="I109" s="106">
        <f t="shared" si="16"/>
        <v>29202002.639999997</v>
      </c>
      <c r="J109" s="106">
        <f t="shared" si="16"/>
        <v>8756997.36</v>
      </c>
      <c r="K109" s="932">
        <f t="shared" si="16"/>
        <v>0</v>
      </c>
      <c r="L109" s="932"/>
    </row>
    <row r="110" spans="1:12" ht="12.75" customHeight="1">
      <c r="A110" s="107" t="s">
        <v>144</v>
      </c>
      <c r="B110" s="108">
        <f aca="true" t="shared" si="17" ref="B110:K110">+B111+B114</f>
        <v>0</v>
      </c>
      <c r="C110" s="108">
        <f t="shared" si="17"/>
        <v>0</v>
      </c>
      <c r="D110" s="108">
        <f t="shared" si="17"/>
        <v>0</v>
      </c>
      <c r="E110" s="108">
        <f t="shared" si="17"/>
        <v>0</v>
      </c>
      <c r="F110" s="108">
        <f t="shared" si="17"/>
        <v>0</v>
      </c>
      <c r="G110" s="108">
        <f t="shared" si="17"/>
        <v>0</v>
      </c>
      <c r="H110" s="108">
        <f t="shared" si="17"/>
        <v>0</v>
      </c>
      <c r="I110" s="108">
        <f t="shared" si="17"/>
        <v>0</v>
      </c>
      <c r="J110" s="108">
        <f t="shared" si="17"/>
        <v>0</v>
      </c>
      <c r="K110" s="918">
        <f t="shared" si="17"/>
        <v>0</v>
      </c>
      <c r="L110" s="918"/>
    </row>
    <row r="111" spans="1:12" ht="12.75" customHeight="1">
      <c r="A111" s="53" t="s">
        <v>145</v>
      </c>
      <c r="B111" s="49">
        <f aca="true" t="shared" si="18" ref="B111:K111">SUM(B112:B113)</f>
        <v>0</v>
      </c>
      <c r="C111" s="49">
        <f t="shared" si="18"/>
        <v>0</v>
      </c>
      <c r="D111" s="49">
        <f t="shared" si="18"/>
        <v>0</v>
      </c>
      <c r="E111" s="49">
        <f t="shared" si="18"/>
        <v>0</v>
      </c>
      <c r="F111" s="49">
        <f t="shared" si="18"/>
        <v>0</v>
      </c>
      <c r="G111" s="49">
        <f t="shared" si="18"/>
        <v>0</v>
      </c>
      <c r="H111" s="49">
        <f t="shared" si="18"/>
        <v>0</v>
      </c>
      <c r="I111" s="49">
        <f t="shared" si="18"/>
        <v>0</v>
      </c>
      <c r="J111" s="49">
        <f t="shared" si="18"/>
        <v>0</v>
      </c>
      <c r="K111" s="907">
        <f t="shared" si="18"/>
        <v>0</v>
      </c>
      <c r="L111" s="907"/>
    </row>
    <row r="112" spans="1:12" ht="12.75" customHeight="1">
      <c r="A112" s="50" t="s">
        <v>146</v>
      </c>
      <c r="B112" s="109">
        <v>0</v>
      </c>
      <c r="C112" s="109">
        <v>0</v>
      </c>
      <c r="D112" s="110">
        <v>0</v>
      </c>
      <c r="E112" s="109">
        <v>0</v>
      </c>
      <c r="F112" s="52">
        <f>+C112-E112</f>
        <v>0</v>
      </c>
      <c r="G112" s="67">
        <v>0</v>
      </c>
      <c r="H112" s="67">
        <v>0</v>
      </c>
      <c r="I112" s="111">
        <f>+C112-H112</f>
        <v>0</v>
      </c>
      <c r="J112" s="110">
        <v>0</v>
      </c>
      <c r="K112" s="905">
        <v>0</v>
      </c>
      <c r="L112" s="905"/>
    </row>
    <row r="113" spans="1:12" ht="12.75" customHeight="1">
      <c r="A113" s="50" t="s">
        <v>147</v>
      </c>
      <c r="B113" s="109">
        <v>0</v>
      </c>
      <c r="C113" s="109">
        <v>0</v>
      </c>
      <c r="D113" s="110">
        <v>0</v>
      </c>
      <c r="E113" s="109">
        <v>0</v>
      </c>
      <c r="F113" s="52">
        <f>+C113-E113</f>
        <v>0</v>
      </c>
      <c r="G113" s="67">
        <v>0</v>
      </c>
      <c r="H113" s="67">
        <v>0</v>
      </c>
      <c r="I113" s="111">
        <f>+C113-H113</f>
        <v>0</v>
      </c>
      <c r="J113" s="110">
        <v>0</v>
      </c>
      <c r="K113" s="905">
        <v>0</v>
      </c>
      <c r="L113" s="905"/>
    </row>
    <row r="114" spans="1:12" ht="12.75" customHeight="1">
      <c r="A114" s="53" t="s">
        <v>148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907">
        <f>SUM(K115:K116)</f>
        <v>0</v>
      </c>
      <c r="L114" s="907"/>
    </row>
    <row r="115" spans="1:12" ht="12.75" customHeight="1">
      <c r="A115" s="50" t="s">
        <v>146</v>
      </c>
      <c r="B115" s="109">
        <v>0</v>
      </c>
      <c r="C115" s="109">
        <v>0</v>
      </c>
      <c r="D115" s="110">
        <v>0</v>
      </c>
      <c r="E115" s="109">
        <v>0</v>
      </c>
      <c r="F115" s="52">
        <f>+C115-E115</f>
        <v>0</v>
      </c>
      <c r="G115" s="67">
        <v>0</v>
      </c>
      <c r="H115" s="67">
        <v>0</v>
      </c>
      <c r="I115" s="111">
        <f>+C115-H115</f>
        <v>0</v>
      </c>
      <c r="J115" s="110">
        <v>0</v>
      </c>
      <c r="K115" s="905">
        <v>0</v>
      </c>
      <c r="L115" s="905"/>
    </row>
    <row r="116" spans="1:12" ht="12.75" customHeight="1">
      <c r="A116" s="112" t="s">
        <v>147</v>
      </c>
      <c r="B116" s="109">
        <v>0</v>
      </c>
      <c r="C116" s="109">
        <v>0</v>
      </c>
      <c r="D116" s="110">
        <v>0</v>
      </c>
      <c r="E116" s="109">
        <v>0</v>
      </c>
      <c r="F116" s="52">
        <f>+C116-E116</f>
        <v>0</v>
      </c>
      <c r="G116" s="67">
        <v>0</v>
      </c>
      <c r="H116" s="67">
        <v>0</v>
      </c>
      <c r="I116" s="111">
        <f>+C116-H116</f>
        <v>0</v>
      </c>
      <c r="J116" s="110">
        <v>0</v>
      </c>
      <c r="K116" s="905">
        <v>0</v>
      </c>
      <c r="L116" s="905"/>
    </row>
    <row r="117" spans="1:12" ht="12.75" customHeight="1">
      <c r="A117" s="113" t="s">
        <v>149</v>
      </c>
      <c r="B117" s="114">
        <f aca="true" t="shared" si="19" ref="B117:K117">+B109+B110</f>
        <v>37959000</v>
      </c>
      <c r="C117" s="114">
        <f t="shared" si="19"/>
        <v>37959000</v>
      </c>
      <c r="D117" s="114">
        <f t="shared" si="19"/>
        <v>4216684.41</v>
      </c>
      <c r="E117" s="114">
        <f t="shared" si="19"/>
        <v>11812569.56</v>
      </c>
      <c r="F117" s="114">
        <f t="shared" si="19"/>
        <v>26146430.439999998</v>
      </c>
      <c r="G117" s="114">
        <f t="shared" si="19"/>
        <v>3158931.98</v>
      </c>
      <c r="H117" s="114">
        <f t="shared" si="19"/>
        <v>8756997.36</v>
      </c>
      <c r="I117" s="114">
        <f t="shared" si="19"/>
        <v>29202002.639999997</v>
      </c>
      <c r="J117" s="114">
        <f t="shared" si="19"/>
        <v>8756997.36</v>
      </c>
      <c r="K117" s="928">
        <f t="shared" si="19"/>
        <v>0</v>
      </c>
      <c r="L117" s="928"/>
    </row>
    <row r="118" spans="1:13" ht="14.25" customHeight="1">
      <c r="A118" s="105" t="s">
        <v>150</v>
      </c>
      <c r="B118" s="81"/>
      <c r="C118" s="81"/>
      <c r="D118" s="81"/>
      <c r="E118" s="115">
        <f>IF($I$86-E117&lt;0,0,$I$86-E117)</f>
        <v>0</v>
      </c>
      <c r="F118" s="81"/>
      <c r="G118" s="81"/>
      <c r="H118" s="115">
        <f>IF($I$86-H117&lt;0,0,$I$86-H117)</f>
        <v>1424151.25</v>
      </c>
      <c r="I118" s="81"/>
      <c r="J118" s="115"/>
      <c r="K118" s="929"/>
      <c r="L118" s="929"/>
      <c r="M118" s="34"/>
    </row>
    <row r="119" spans="1:13" ht="12.75" customHeight="1">
      <c r="A119" s="116" t="s">
        <v>151</v>
      </c>
      <c r="B119" s="117">
        <f>+B118+B117</f>
        <v>37959000</v>
      </c>
      <c r="C119" s="117">
        <f>+C118+C117</f>
        <v>37959000</v>
      </c>
      <c r="D119" s="117">
        <f>+D118+D117</f>
        <v>4216684.41</v>
      </c>
      <c r="E119" s="117">
        <f>+E118+E117</f>
        <v>11812569.56</v>
      </c>
      <c r="F119" s="81"/>
      <c r="G119" s="81"/>
      <c r="H119" s="117">
        <f>+H118+H117</f>
        <v>10181148.61</v>
      </c>
      <c r="I119" s="81"/>
      <c r="J119" s="117">
        <f>+J118+J117</f>
        <v>8756997.36</v>
      </c>
      <c r="K119" s="929"/>
      <c r="L119" s="929"/>
      <c r="M119" s="118"/>
    </row>
    <row r="120" spans="1:13" ht="12.75" customHeight="1">
      <c r="A120" s="96" t="s">
        <v>152</v>
      </c>
      <c r="B120" s="119"/>
      <c r="C120" s="119"/>
      <c r="D120" s="81"/>
      <c r="E120" s="119"/>
      <c r="F120" s="120">
        <f>+C120-E120</f>
        <v>0</v>
      </c>
      <c r="G120" s="81"/>
      <c r="H120" s="119"/>
      <c r="I120" s="120">
        <f>+C120-H120</f>
        <v>0</v>
      </c>
      <c r="J120" s="81"/>
      <c r="K120" s="929"/>
      <c r="L120" s="929"/>
      <c r="M120" s="102"/>
    </row>
    <row r="121" spans="1:13" ht="12.75" customHeight="1">
      <c r="A121" s="930" t="s">
        <v>153</v>
      </c>
      <c r="B121" s="930"/>
      <c r="C121" s="930"/>
      <c r="D121" s="930"/>
      <c r="E121" s="930"/>
      <c r="F121" s="930"/>
      <c r="G121" s="930"/>
      <c r="H121" s="930"/>
      <c r="I121" s="930"/>
      <c r="J121" s="930"/>
      <c r="K121" s="930"/>
      <c r="L121" s="24"/>
      <c r="M121" s="118"/>
    </row>
    <row r="122" spans="1:12" ht="12.75" customHeight="1">
      <c r="A122" s="923" t="s">
        <v>154</v>
      </c>
      <c r="B122" s="923"/>
      <c r="C122" s="923"/>
      <c r="D122" s="121"/>
      <c r="E122" s="121"/>
      <c r="F122" s="121"/>
      <c r="G122" s="121"/>
      <c r="H122" s="121"/>
      <c r="I122" s="121"/>
      <c r="J122" s="121"/>
      <c r="K122" s="121"/>
      <c r="L122" s="24"/>
    </row>
    <row r="123" spans="1:12" ht="12.75" customHeight="1">
      <c r="A123" s="121"/>
      <c r="B123" s="121"/>
      <c r="C123" s="121"/>
      <c r="D123" s="121"/>
      <c r="E123" s="121"/>
      <c r="F123" s="121"/>
      <c r="G123" s="121"/>
      <c r="H123" s="122"/>
      <c r="I123" s="113"/>
      <c r="J123" s="121"/>
      <c r="K123" s="121"/>
      <c r="L123" s="24"/>
    </row>
    <row r="124" spans="1:12" s="125" customFormat="1" ht="11.25" customHeight="1">
      <c r="A124" s="123"/>
      <c r="B124" s="924" t="s">
        <v>33</v>
      </c>
      <c r="C124" s="924"/>
      <c r="D124" s="924" t="s">
        <v>34</v>
      </c>
      <c r="E124" s="924"/>
      <c r="F124" s="925" t="s">
        <v>35</v>
      </c>
      <c r="G124" s="925"/>
      <c r="H124" s="925"/>
      <c r="I124" s="925"/>
      <c r="J124" s="925"/>
      <c r="K124" s="925"/>
      <c r="L124" s="124" t="s">
        <v>36</v>
      </c>
    </row>
    <row r="125" spans="1:12" ht="11.25" customHeight="1">
      <c r="A125" s="126" t="s">
        <v>155</v>
      </c>
      <c r="B125" s="924"/>
      <c r="C125" s="924"/>
      <c r="D125" s="924"/>
      <c r="E125" s="924"/>
      <c r="F125" s="926" t="s">
        <v>37</v>
      </c>
      <c r="G125" s="926"/>
      <c r="H125" s="36" t="s">
        <v>38</v>
      </c>
      <c r="I125" s="927" t="s">
        <v>39</v>
      </c>
      <c r="J125" s="927"/>
      <c r="K125" s="37" t="s">
        <v>38</v>
      </c>
      <c r="L125" s="35"/>
    </row>
    <row r="126" spans="1:12" ht="11.25" customHeight="1">
      <c r="A126" s="127"/>
      <c r="B126" s="128"/>
      <c r="C126" s="129"/>
      <c r="D126" s="921" t="s">
        <v>40</v>
      </c>
      <c r="E126" s="921"/>
      <c r="F126" s="921" t="s">
        <v>41</v>
      </c>
      <c r="G126" s="921"/>
      <c r="H126" s="39" t="s">
        <v>42</v>
      </c>
      <c r="I126" s="921" t="s">
        <v>43</v>
      </c>
      <c r="J126" s="921"/>
      <c r="K126" s="40" t="s">
        <v>44</v>
      </c>
      <c r="L126" s="38" t="s">
        <v>45</v>
      </c>
    </row>
    <row r="127" spans="1:12" ht="18" customHeight="1">
      <c r="A127" s="130" t="s">
        <v>156</v>
      </c>
      <c r="B127" s="922">
        <f>+B128+B169</f>
        <v>0</v>
      </c>
      <c r="C127" s="922"/>
      <c r="D127" s="922">
        <f>+D128+D169</f>
        <v>0</v>
      </c>
      <c r="E127" s="922"/>
      <c r="F127" s="922">
        <f>+F128+F169</f>
        <v>0</v>
      </c>
      <c r="G127" s="922"/>
      <c r="H127" s="70">
        <f>IF($D127="",0,IF($D127=0,0,+F127/$D127))</f>
        <v>0</v>
      </c>
      <c r="I127" s="922">
        <f>+I128+I169</f>
        <v>0</v>
      </c>
      <c r="J127" s="922"/>
      <c r="K127" s="70">
        <f aca="true" t="shared" si="20" ref="K127:K135">IF($D127="",0,IF($D127=0,0,+I127/$D127))</f>
        <v>0</v>
      </c>
      <c r="L127" s="131">
        <f aca="true" t="shared" si="21" ref="L127:L184">+D127-I127</f>
        <v>0</v>
      </c>
    </row>
    <row r="128" spans="1:12" ht="17.25" customHeight="1">
      <c r="A128" s="44" t="s">
        <v>47</v>
      </c>
      <c r="B128" s="918">
        <f>+B129+B133+B138+B147+B148+B149+B155+B164</f>
        <v>0</v>
      </c>
      <c r="C128" s="918"/>
      <c r="D128" s="918">
        <f>+D129+D133+D138+D147+D148+D149+D155+D164</f>
        <v>0</v>
      </c>
      <c r="E128" s="918"/>
      <c r="F128" s="918">
        <f>+F129+F133+F138+F147+F148+F149+F155+F164</f>
        <v>0</v>
      </c>
      <c r="G128" s="918"/>
      <c r="H128" s="132">
        <f>IF($D128="",0,IF($D128=0,0,+F128/$D128))</f>
        <v>0</v>
      </c>
      <c r="I128" s="918">
        <f>+I129+I133+I138+I147+I148+I149+I155+I164</f>
        <v>0</v>
      </c>
      <c r="J128" s="918"/>
      <c r="K128" s="45">
        <f t="shared" si="20"/>
        <v>0</v>
      </c>
      <c r="L128" s="46">
        <f t="shared" si="21"/>
        <v>0</v>
      </c>
    </row>
    <row r="129" spans="1:12" ht="15" customHeight="1">
      <c r="A129" s="47" t="s">
        <v>157</v>
      </c>
      <c r="B129" s="907">
        <f>SUM(B130:C132)</f>
        <v>0</v>
      </c>
      <c r="C129" s="907"/>
      <c r="D129" s="907">
        <f>SUM(D130:E132)</f>
        <v>0</v>
      </c>
      <c r="E129" s="907"/>
      <c r="F129" s="907">
        <f>SUM(F130:G132)</f>
        <v>0</v>
      </c>
      <c r="G129" s="907"/>
      <c r="H129" s="51">
        <f>IF($D129="",0,IF($D129=0,0,+F129/$D129))</f>
        <v>0</v>
      </c>
      <c r="I129" s="907">
        <f>SUM(I130:J132)</f>
        <v>0</v>
      </c>
      <c r="J129" s="907"/>
      <c r="K129" s="48">
        <f t="shared" si="20"/>
        <v>0</v>
      </c>
      <c r="L129" s="49">
        <f t="shared" si="21"/>
        <v>0</v>
      </c>
    </row>
    <row r="130" spans="1:12" ht="11.25" customHeight="1">
      <c r="A130" s="50" t="s">
        <v>49</v>
      </c>
      <c r="B130" s="905">
        <v>0</v>
      </c>
      <c r="C130" s="905"/>
      <c r="D130" s="905">
        <v>0</v>
      </c>
      <c r="E130" s="905"/>
      <c r="F130" s="905">
        <v>0</v>
      </c>
      <c r="G130" s="905"/>
      <c r="H130" s="51">
        <f>IF($D130="",0,IF($D130=0,0,+F130/$D130))</f>
        <v>0</v>
      </c>
      <c r="I130" s="905">
        <v>0</v>
      </c>
      <c r="J130" s="905"/>
      <c r="K130" s="51">
        <f t="shared" si="20"/>
        <v>0</v>
      </c>
      <c r="L130" s="52">
        <f t="shared" si="21"/>
        <v>0</v>
      </c>
    </row>
    <row r="131" spans="1:12" ht="11.25" customHeight="1">
      <c r="A131" s="50" t="s">
        <v>50</v>
      </c>
      <c r="B131" s="905">
        <v>0</v>
      </c>
      <c r="C131" s="905"/>
      <c r="D131" s="905">
        <v>0</v>
      </c>
      <c r="E131" s="905"/>
      <c r="F131" s="905">
        <v>0</v>
      </c>
      <c r="G131" s="905"/>
      <c r="H131" s="51">
        <f aca="true" t="shared" si="22" ref="H131:H191">IF(D131="",0,IF(D131=0,0,+F131/D131))</f>
        <v>0</v>
      </c>
      <c r="I131" s="905">
        <v>0</v>
      </c>
      <c r="J131" s="905"/>
      <c r="K131" s="51">
        <f t="shared" si="20"/>
        <v>0</v>
      </c>
      <c r="L131" s="52">
        <f t="shared" si="21"/>
        <v>0</v>
      </c>
    </row>
    <row r="132" spans="1:12" ht="11.25" customHeight="1">
      <c r="A132" s="50" t="s">
        <v>51</v>
      </c>
      <c r="B132" s="905">
        <v>0</v>
      </c>
      <c r="C132" s="905"/>
      <c r="D132" s="905">
        <v>0</v>
      </c>
      <c r="E132" s="905"/>
      <c r="F132" s="905">
        <v>0</v>
      </c>
      <c r="G132" s="905"/>
      <c r="H132" s="51">
        <f t="shared" si="22"/>
        <v>0</v>
      </c>
      <c r="I132" s="905">
        <v>0</v>
      </c>
      <c r="J132" s="905"/>
      <c r="K132" s="51">
        <f t="shared" si="20"/>
        <v>0</v>
      </c>
      <c r="L132" s="52">
        <f t="shared" si="21"/>
        <v>0</v>
      </c>
    </row>
    <row r="133" spans="1:12" ht="11.25" customHeight="1">
      <c r="A133" s="53" t="s">
        <v>158</v>
      </c>
      <c r="B133" s="907">
        <f>SUM(B134:C137)</f>
        <v>0</v>
      </c>
      <c r="C133" s="907"/>
      <c r="D133" s="907">
        <f>SUM(D134:E137)</f>
        <v>0</v>
      </c>
      <c r="E133" s="907"/>
      <c r="F133" s="907">
        <f>SUM(F134:G137)</f>
        <v>0</v>
      </c>
      <c r="G133" s="907"/>
      <c r="H133" s="51">
        <f t="shared" si="22"/>
        <v>0</v>
      </c>
      <c r="I133" s="907">
        <f>SUM(I134:J137)</f>
        <v>0</v>
      </c>
      <c r="J133" s="907"/>
      <c r="K133" s="48">
        <f t="shared" si="20"/>
        <v>0</v>
      </c>
      <c r="L133" s="49">
        <f t="shared" si="21"/>
        <v>0</v>
      </c>
    </row>
    <row r="134" spans="1:12" ht="11.25" customHeight="1">
      <c r="A134" s="50" t="s">
        <v>53</v>
      </c>
      <c r="B134" s="920">
        <v>0</v>
      </c>
      <c r="C134" s="920"/>
      <c r="D134" s="920">
        <v>0</v>
      </c>
      <c r="E134" s="920"/>
      <c r="F134" s="920">
        <v>0</v>
      </c>
      <c r="G134" s="920"/>
      <c r="H134" s="51">
        <f t="shared" si="22"/>
        <v>0</v>
      </c>
      <c r="I134" s="920">
        <v>0</v>
      </c>
      <c r="J134" s="920"/>
      <c r="K134" s="51">
        <f t="shared" si="20"/>
        <v>0</v>
      </c>
      <c r="L134" s="52">
        <f t="shared" si="21"/>
        <v>0</v>
      </c>
    </row>
    <row r="135" spans="1:12" ht="11.25" customHeight="1">
      <c r="A135" s="50" t="s">
        <v>54</v>
      </c>
      <c r="B135" s="905">
        <v>0</v>
      </c>
      <c r="C135" s="905"/>
      <c r="D135" s="905">
        <v>0</v>
      </c>
      <c r="E135" s="905"/>
      <c r="F135" s="905">
        <v>0</v>
      </c>
      <c r="G135" s="905"/>
      <c r="H135" s="51">
        <f t="shared" si="22"/>
        <v>0</v>
      </c>
      <c r="I135" s="905">
        <v>0</v>
      </c>
      <c r="J135" s="905"/>
      <c r="K135" s="51">
        <f t="shared" si="20"/>
        <v>0</v>
      </c>
      <c r="L135" s="52">
        <f t="shared" si="21"/>
        <v>0</v>
      </c>
    </row>
    <row r="136" spans="1:12" ht="24.75" customHeight="1">
      <c r="A136" s="55" t="s">
        <v>159</v>
      </c>
      <c r="B136" s="905">
        <v>0</v>
      </c>
      <c r="C136" s="905"/>
      <c r="D136" s="905">
        <v>0</v>
      </c>
      <c r="E136" s="905"/>
      <c r="F136" s="905">
        <v>0</v>
      </c>
      <c r="G136" s="905"/>
      <c r="H136" s="51">
        <f t="shared" si="22"/>
        <v>0</v>
      </c>
      <c r="I136" s="905">
        <v>0</v>
      </c>
      <c r="J136" s="905"/>
      <c r="K136" s="51">
        <v>0</v>
      </c>
      <c r="L136" s="52">
        <f t="shared" si="21"/>
        <v>0</v>
      </c>
    </row>
    <row r="137" spans="1:12" ht="11.25" customHeight="1">
      <c r="A137" s="50" t="s">
        <v>160</v>
      </c>
      <c r="B137" s="905">
        <v>0</v>
      </c>
      <c r="C137" s="905"/>
      <c r="D137" s="905">
        <v>0</v>
      </c>
      <c r="E137" s="905"/>
      <c r="F137" s="905">
        <v>0</v>
      </c>
      <c r="G137" s="905"/>
      <c r="H137" s="51">
        <f t="shared" si="22"/>
        <v>0</v>
      </c>
      <c r="I137" s="905">
        <v>0</v>
      </c>
      <c r="J137" s="905"/>
      <c r="K137" s="51">
        <f aca="true" t="shared" si="23" ref="K137:K144">IF($D137="",0,IF($D137=0,0,+I137/$D137))</f>
        <v>0</v>
      </c>
      <c r="L137" s="52">
        <f t="shared" si="21"/>
        <v>0</v>
      </c>
    </row>
    <row r="138" spans="1:12" ht="11.25" customHeight="1">
      <c r="A138" s="53" t="s">
        <v>57</v>
      </c>
      <c r="B138" s="907">
        <f>SUM(B139:C146)</f>
        <v>0</v>
      </c>
      <c r="C138" s="907"/>
      <c r="D138" s="907">
        <f>SUM(D139:E146)</f>
        <v>0</v>
      </c>
      <c r="E138" s="907"/>
      <c r="F138" s="907">
        <f>SUM(F139:G146)</f>
        <v>0</v>
      </c>
      <c r="G138" s="907"/>
      <c r="H138" s="51">
        <f t="shared" si="22"/>
        <v>0</v>
      </c>
      <c r="I138" s="907">
        <f>SUM(I139:J146)</f>
        <v>0</v>
      </c>
      <c r="J138" s="907"/>
      <c r="K138" s="48">
        <f t="shared" si="23"/>
        <v>0</v>
      </c>
      <c r="L138" s="49">
        <f t="shared" si="21"/>
        <v>0</v>
      </c>
    </row>
    <row r="139" spans="1:12" ht="11.25" customHeight="1">
      <c r="A139" s="50" t="s">
        <v>161</v>
      </c>
      <c r="B139" s="905">
        <v>0</v>
      </c>
      <c r="C139" s="905"/>
      <c r="D139" s="905">
        <v>0</v>
      </c>
      <c r="E139" s="905"/>
      <c r="F139" s="905">
        <v>0</v>
      </c>
      <c r="G139" s="905"/>
      <c r="H139" s="51">
        <f t="shared" si="22"/>
        <v>0</v>
      </c>
      <c r="I139" s="905">
        <v>0</v>
      </c>
      <c r="J139" s="905"/>
      <c r="K139" s="51">
        <f t="shared" si="23"/>
        <v>0</v>
      </c>
      <c r="L139" s="52">
        <f t="shared" si="21"/>
        <v>0</v>
      </c>
    </row>
    <row r="140" spans="1:12" ht="11.25" customHeight="1">
      <c r="A140" s="50" t="s">
        <v>162</v>
      </c>
      <c r="B140" s="905">
        <v>0</v>
      </c>
      <c r="C140" s="905"/>
      <c r="D140" s="905">
        <v>0</v>
      </c>
      <c r="E140" s="905"/>
      <c r="F140" s="905">
        <v>0</v>
      </c>
      <c r="G140" s="905"/>
      <c r="H140" s="51">
        <f t="shared" si="22"/>
        <v>0</v>
      </c>
      <c r="I140" s="905">
        <v>0</v>
      </c>
      <c r="J140" s="905"/>
      <c r="K140" s="51">
        <f t="shared" si="23"/>
        <v>0</v>
      </c>
      <c r="L140" s="52">
        <f t="shared" si="21"/>
        <v>0</v>
      </c>
    </row>
    <row r="141" spans="1:12" ht="25.5" customHeight="1">
      <c r="A141" s="55" t="s">
        <v>163</v>
      </c>
      <c r="B141" s="905">
        <v>0</v>
      </c>
      <c r="C141" s="905"/>
      <c r="D141" s="905">
        <v>0</v>
      </c>
      <c r="E141" s="905"/>
      <c r="F141" s="905">
        <v>0</v>
      </c>
      <c r="G141" s="905"/>
      <c r="H141" s="51">
        <f t="shared" si="22"/>
        <v>0</v>
      </c>
      <c r="I141" s="905">
        <v>0</v>
      </c>
      <c r="J141" s="905"/>
      <c r="K141" s="51">
        <f t="shared" si="23"/>
        <v>0</v>
      </c>
      <c r="L141" s="52">
        <f t="shared" si="21"/>
        <v>0</v>
      </c>
    </row>
    <row r="142" spans="1:12" ht="10.5" customHeight="1">
      <c r="A142" s="50" t="s">
        <v>164</v>
      </c>
      <c r="B142" s="905">
        <v>0</v>
      </c>
      <c r="C142" s="905"/>
      <c r="D142" s="905">
        <v>0</v>
      </c>
      <c r="E142" s="905"/>
      <c r="F142" s="905">
        <v>0</v>
      </c>
      <c r="G142" s="905"/>
      <c r="H142" s="51">
        <f t="shared" si="22"/>
        <v>0</v>
      </c>
      <c r="I142" s="905">
        <v>0</v>
      </c>
      <c r="J142" s="905"/>
      <c r="K142" s="51">
        <f t="shared" si="23"/>
        <v>0</v>
      </c>
      <c r="L142" s="52">
        <f t="shared" si="21"/>
        <v>0</v>
      </c>
    </row>
    <row r="143" spans="1:12" s="133" customFormat="1" ht="24" customHeight="1">
      <c r="A143" s="55" t="s">
        <v>165</v>
      </c>
      <c r="B143" s="917">
        <v>0</v>
      </c>
      <c r="C143" s="917"/>
      <c r="D143" s="917">
        <v>0</v>
      </c>
      <c r="E143" s="917"/>
      <c r="F143" s="917">
        <v>0</v>
      </c>
      <c r="G143" s="917"/>
      <c r="H143" s="58">
        <f t="shared" si="22"/>
        <v>0</v>
      </c>
      <c r="I143" s="917">
        <v>0</v>
      </c>
      <c r="J143" s="917"/>
      <c r="K143" s="58">
        <f t="shared" si="23"/>
        <v>0</v>
      </c>
      <c r="L143" s="59">
        <f t="shared" si="21"/>
        <v>0</v>
      </c>
    </row>
    <row r="144" spans="1:12" ht="14.25" customHeight="1">
      <c r="A144" s="55" t="s">
        <v>166</v>
      </c>
      <c r="B144" s="905">
        <v>0</v>
      </c>
      <c r="C144" s="905"/>
      <c r="D144" s="905">
        <v>0</v>
      </c>
      <c r="E144" s="905"/>
      <c r="F144" s="905">
        <v>0</v>
      </c>
      <c r="G144" s="905"/>
      <c r="H144" s="51">
        <f t="shared" si="22"/>
        <v>0</v>
      </c>
      <c r="I144" s="905">
        <v>0</v>
      </c>
      <c r="J144" s="905"/>
      <c r="K144" s="51">
        <f t="shared" si="23"/>
        <v>0</v>
      </c>
      <c r="L144" s="52">
        <f t="shared" si="21"/>
        <v>0</v>
      </c>
    </row>
    <row r="145" spans="1:12" ht="14.25" customHeight="1">
      <c r="A145" s="55" t="s">
        <v>167</v>
      </c>
      <c r="B145" s="905">
        <v>0</v>
      </c>
      <c r="C145" s="905"/>
      <c r="D145" s="905">
        <v>0</v>
      </c>
      <c r="E145" s="905"/>
      <c r="F145" s="905">
        <v>0</v>
      </c>
      <c r="G145" s="905"/>
      <c r="H145" s="51">
        <f t="shared" si="22"/>
        <v>0</v>
      </c>
      <c r="I145" s="905">
        <v>0</v>
      </c>
      <c r="J145" s="905"/>
      <c r="K145" s="51">
        <v>0</v>
      </c>
      <c r="L145" s="52">
        <f t="shared" si="21"/>
        <v>0</v>
      </c>
    </row>
    <row r="146" spans="1:12" ht="11.25" customHeight="1">
      <c r="A146" s="50" t="s">
        <v>168</v>
      </c>
      <c r="B146" s="905">
        <v>0</v>
      </c>
      <c r="C146" s="905"/>
      <c r="D146" s="905">
        <v>0</v>
      </c>
      <c r="E146" s="905"/>
      <c r="F146" s="905">
        <v>0</v>
      </c>
      <c r="G146" s="905"/>
      <c r="H146" s="51">
        <f t="shared" si="22"/>
        <v>0</v>
      </c>
      <c r="I146" s="905">
        <v>0</v>
      </c>
      <c r="J146" s="905"/>
      <c r="K146" s="51">
        <f>IF($D146="",0,IF($D146=0,0,+I146/$D146))</f>
        <v>0</v>
      </c>
      <c r="L146" s="52">
        <f t="shared" si="21"/>
        <v>0</v>
      </c>
    </row>
    <row r="147" spans="1:12" ht="11.25" customHeight="1">
      <c r="A147" s="53" t="s">
        <v>65</v>
      </c>
      <c r="B147" s="907">
        <v>0</v>
      </c>
      <c r="C147" s="907"/>
      <c r="D147" s="907">
        <v>0</v>
      </c>
      <c r="E147" s="907"/>
      <c r="F147" s="907">
        <v>0</v>
      </c>
      <c r="G147" s="907"/>
      <c r="H147" s="51">
        <f t="shared" si="22"/>
        <v>0</v>
      </c>
      <c r="I147" s="907">
        <v>0</v>
      </c>
      <c r="J147" s="907"/>
      <c r="K147" s="48">
        <v>0</v>
      </c>
      <c r="L147" s="52">
        <f t="shared" si="21"/>
        <v>0</v>
      </c>
    </row>
    <row r="148" spans="1:12" ht="11.25" customHeight="1">
      <c r="A148" s="53" t="s">
        <v>66</v>
      </c>
      <c r="B148" s="907">
        <v>0</v>
      </c>
      <c r="C148" s="907"/>
      <c r="D148" s="907">
        <v>0</v>
      </c>
      <c r="E148" s="907"/>
      <c r="F148" s="907">
        <v>0</v>
      </c>
      <c r="G148" s="907"/>
      <c r="H148" s="51">
        <f t="shared" si="22"/>
        <v>0</v>
      </c>
      <c r="I148" s="907">
        <v>0</v>
      </c>
      <c r="J148" s="907"/>
      <c r="K148" s="48">
        <v>0</v>
      </c>
      <c r="L148" s="52">
        <f t="shared" si="21"/>
        <v>0</v>
      </c>
    </row>
    <row r="149" spans="1:13" ht="11.25" customHeight="1">
      <c r="A149" s="53" t="s">
        <v>67</v>
      </c>
      <c r="B149" s="919">
        <f>SUM(B150:B154)</f>
        <v>0</v>
      </c>
      <c r="C149" s="919">
        <f>SUM(C150:C154)</f>
        <v>0</v>
      </c>
      <c r="D149" s="919">
        <f>SUM(D150:D154)</f>
        <v>0</v>
      </c>
      <c r="E149" s="919"/>
      <c r="F149" s="919">
        <f>SUM(F150:F154)</f>
        <v>0</v>
      </c>
      <c r="G149" s="919"/>
      <c r="H149" s="51">
        <f t="shared" si="22"/>
        <v>0</v>
      </c>
      <c r="I149" s="919">
        <f>SUM(I150:I154)</f>
        <v>0</v>
      </c>
      <c r="J149" s="919"/>
      <c r="K149" s="60">
        <f>IF($D149="",0,IF($D149=0,0,+I149/$D149))</f>
        <v>0</v>
      </c>
      <c r="L149" s="52">
        <f t="shared" si="21"/>
        <v>0</v>
      </c>
      <c r="M149" s="134"/>
    </row>
    <row r="150" spans="1:12" ht="11.25" customHeight="1">
      <c r="A150" s="50" t="s">
        <v>169</v>
      </c>
      <c r="B150" s="905">
        <v>0</v>
      </c>
      <c r="C150" s="905"/>
      <c r="D150" s="905">
        <v>0</v>
      </c>
      <c r="E150" s="905"/>
      <c r="F150" s="905">
        <v>0</v>
      </c>
      <c r="G150" s="905"/>
      <c r="H150" s="51">
        <f t="shared" si="22"/>
        <v>0</v>
      </c>
      <c r="I150" s="905">
        <v>0</v>
      </c>
      <c r="J150" s="905"/>
      <c r="K150" s="48">
        <v>0</v>
      </c>
      <c r="L150" s="52">
        <f t="shared" si="21"/>
        <v>0</v>
      </c>
    </row>
    <row r="151" spans="1:12" ht="11.25" customHeight="1">
      <c r="A151" s="50" t="s">
        <v>170</v>
      </c>
      <c r="B151" s="905">
        <v>0</v>
      </c>
      <c r="C151" s="905"/>
      <c r="D151" s="905">
        <v>0</v>
      </c>
      <c r="E151" s="905"/>
      <c r="F151" s="905">
        <v>0</v>
      </c>
      <c r="G151" s="905"/>
      <c r="H151" s="51">
        <f t="shared" si="22"/>
        <v>0</v>
      </c>
      <c r="I151" s="905">
        <v>0</v>
      </c>
      <c r="J151" s="905"/>
      <c r="K151" s="48">
        <v>0</v>
      </c>
      <c r="L151" s="52">
        <f t="shared" si="21"/>
        <v>0</v>
      </c>
    </row>
    <row r="152" spans="1:12" ht="11.25" customHeight="1">
      <c r="A152" s="50" t="s">
        <v>171</v>
      </c>
      <c r="B152" s="905">
        <v>0</v>
      </c>
      <c r="C152" s="905"/>
      <c r="D152" s="905">
        <v>0</v>
      </c>
      <c r="E152" s="905"/>
      <c r="F152" s="905">
        <v>0</v>
      </c>
      <c r="G152" s="905"/>
      <c r="H152" s="51">
        <f t="shared" si="22"/>
        <v>0</v>
      </c>
      <c r="I152" s="905">
        <v>0</v>
      </c>
      <c r="J152" s="905"/>
      <c r="K152" s="48">
        <v>0</v>
      </c>
      <c r="L152" s="52">
        <f t="shared" si="21"/>
        <v>0</v>
      </c>
    </row>
    <row r="153" spans="1:12" ht="11.25" customHeight="1">
      <c r="A153" s="50" t="s">
        <v>172</v>
      </c>
      <c r="B153" s="905">
        <v>0</v>
      </c>
      <c r="C153" s="905"/>
      <c r="D153" s="905">
        <v>0</v>
      </c>
      <c r="E153" s="905"/>
      <c r="F153" s="905">
        <v>0</v>
      </c>
      <c r="G153" s="905"/>
      <c r="H153" s="51">
        <f t="shared" si="22"/>
        <v>0</v>
      </c>
      <c r="I153" s="905">
        <v>0</v>
      </c>
      <c r="J153" s="905"/>
      <c r="K153" s="48">
        <v>0</v>
      </c>
      <c r="L153" s="52">
        <f t="shared" si="21"/>
        <v>0</v>
      </c>
    </row>
    <row r="154" spans="1:12" ht="11.25" customHeight="1">
      <c r="A154" s="50" t="s">
        <v>173</v>
      </c>
      <c r="B154" s="905">
        <v>0</v>
      </c>
      <c r="C154" s="905"/>
      <c r="D154" s="905">
        <v>0</v>
      </c>
      <c r="E154" s="905"/>
      <c r="F154" s="905">
        <v>0</v>
      </c>
      <c r="G154" s="905"/>
      <c r="H154" s="51">
        <f t="shared" si="22"/>
        <v>0</v>
      </c>
      <c r="I154" s="905">
        <v>0</v>
      </c>
      <c r="J154" s="905"/>
      <c r="K154" s="48">
        <v>0</v>
      </c>
      <c r="L154" s="52">
        <f t="shared" si="21"/>
        <v>0</v>
      </c>
    </row>
    <row r="155" spans="1:12" ht="11.25" customHeight="1">
      <c r="A155" s="53" t="s">
        <v>73</v>
      </c>
      <c r="B155" s="907">
        <f>SUM(B156:C163)</f>
        <v>0</v>
      </c>
      <c r="C155" s="907"/>
      <c r="D155" s="907">
        <f>SUM(D156:E163)</f>
        <v>0</v>
      </c>
      <c r="E155" s="907"/>
      <c r="F155" s="907">
        <f>SUM(F156:G163)</f>
        <v>0</v>
      </c>
      <c r="G155" s="907"/>
      <c r="H155" s="51">
        <f t="shared" si="22"/>
        <v>0</v>
      </c>
      <c r="I155" s="907">
        <f>SUM(I156:J163)</f>
        <v>0</v>
      </c>
      <c r="J155" s="907"/>
      <c r="K155" s="48">
        <f>IF($D155="",0,IF($D155=0,0,+I155/$D155))</f>
        <v>0</v>
      </c>
      <c r="L155" s="49">
        <f t="shared" si="21"/>
        <v>0</v>
      </c>
    </row>
    <row r="156" spans="1:12" ht="11.25" customHeight="1">
      <c r="A156" s="50" t="s">
        <v>74</v>
      </c>
      <c r="B156" s="905">
        <v>0</v>
      </c>
      <c r="C156" s="905"/>
      <c r="D156" s="905">
        <v>0</v>
      </c>
      <c r="E156" s="905"/>
      <c r="F156" s="905">
        <v>0</v>
      </c>
      <c r="G156" s="905"/>
      <c r="H156" s="51">
        <f t="shared" si="22"/>
        <v>0</v>
      </c>
      <c r="I156" s="905">
        <v>0</v>
      </c>
      <c r="J156" s="905"/>
      <c r="K156" s="51">
        <f>IF($D156="",0,IF($D156=0,0,+I156/$D156))</f>
        <v>0</v>
      </c>
      <c r="L156" s="52">
        <f t="shared" si="21"/>
        <v>0</v>
      </c>
    </row>
    <row r="157" spans="1:12" ht="11.25" customHeight="1">
      <c r="A157" s="135" t="s">
        <v>174</v>
      </c>
      <c r="B157" s="905">
        <v>0</v>
      </c>
      <c r="C157" s="905"/>
      <c r="D157" s="905">
        <v>0</v>
      </c>
      <c r="E157" s="905"/>
      <c r="F157" s="905">
        <v>0</v>
      </c>
      <c r="G157" s="905"/>
      <c r="H157" s="51">
        <f t="shared" si="22"/>
        <v>0</v>
      </c>
      <c r="I157" s="905">
        <v>0</v>
      </c>
      <c r="J157" s="905"/>
      <c r="K157" s="51">
        <f>IF($D157="",0,IF($D157=0,0,+I157/$D157))</f>
        <v>0</v>
      </c>
      <c r="L157" s="52">
        <f t="shared" si="21"/>
        <v>0</v>
      </c>
    </row>
    <row r="158" spans="1:12" ht="11.25" customHeight="1">
      <c r="A158" s="135" t="s">
        <v>175</v>
      </c>
      <c r="B158" s="905">
        <v>0</v>
      </c>
      <c r="C158" s="905"/>
      <c r="D158" s="905">
        <v>0</v>
      </c>
      <c r="E158" s="905"/>
      <c r="F158" s="905">
        <v>0</v>
      </c>
      <c r="G158" s="905"/>
      <c r="H158" s="51">
        <f t="shared" si="22"/>
        <v>0</v>
      </c>
      <c r="I158" s="905">
        <v>0</v>
      </c>
      <c r="J158" s="905"/>
      <c r="K158" s="51">
        <f>IF($D158="",0,IF($D158=0,0,+I158/$D158))</f>
        <v>0</v>
      </c>
      <c r="L158" s="52">
        <f t="shared" si="21"/>
        <v>0</v>
      </c>
    </row>
    <row r="159" spans="1:12" ht="11.25" customHeight="1">
      <c r="A159" s="50" t="s">
        <v>77</v>
      </c>
      <c r="B159" s="905">
        <v>0</v>
      </c>
      <c r="C159" s="905"/>
      <c r="D159" s="905">
        <v>0</v>
      </c>
      <c r="E159" s="905"/>
      <c r="F159" s="905">
        <v>0</v>
      </c>
      <c r="G159" s="905"/>
      <c r="H159" s="51">
        <f t="shared" si="22"/>
        <v>0</v>
      </c>
      <c r="I159" s="905">
        <v>0</v>
      </c>
      <c r="J159" s="905"/>
      <c r="K159" s="51">
        <f>IF($D159="",0,IF($D159=0,0,+I159/$D159))</f>
        <v>0</v>
      </c>
      <c r="L159" s="52">
        <f t="shared" si="21"/>
        <v>0</v>
      </c>
    </row>
    <row r="160" spans="1:12" ht="11.25" customHeight="1">
      <c r="A160" s="50" t="s">
        <v>176</v>
      </c>
      <c r="B160" s="905">
        <v>0</v>
      </c>
      <c r="C160" s="905"/>
      <c r="D160" s="905">
        <v>0</v>
      </c>
      <c r="E160" s="905"/>
      <c r="F160" s="905">
        <v>0</v>
      </c>
      <c r="G160" s="905"/>
      <c r="H160" s="51">
        <f t="shared" si="22"/>
        <v>0</v>
      </c>
      <c r="I160" s="905">
        <v>0</v>
      </c>
      <c r="J160" s="905"/>
      <c r="K160" s="51">
        <v>0</v>
      </c>
      <c r="L160" s="52">
        <f t="shared" si="21"/>
        <v>0</v>
      </c>
    </row>
    <row r="161" spans="1:12" ht="11.25" customHeight="1">
      <c r="A161" s="50" t="s">
        <v>177</v>
      </c>
      <c r="B161" s="905">
        <v>0</v>
      </c>
      <c r="C161" s="905"/>
      <c r="D161" s="905">
        <v>0</v>
      </c>
      <c r="E161" s="905"/>
      <c r="F161" s="905">
        <v>0</v>
      </c>
      <c r="G161" s="905"/>
      <c r="H161" s="51">
        <f t="shared" si="22"/>
        <v>0</v>
      </c>
      <c r="I161" s="905">
        <v>0</v>
      </c>
      <c r="J161" s="905"/>
      <c r="K161" s="51">
        <v>0</v>
      </c>
      <c r="L161" s="52">
        <f t="shared" si="21"/>
        <v>0</v>
      </c>
    </row>
    <row r="162" spans="1:12" ht="11.25" customHeight="1">
      <c r="A162" s="50" t="s">
        <v>98</v>
      </c>
      <c r="B162" s="905">
        <v>0</v>
      </c>
      <c r="C162" s="905"/>
      <c r="D162" s="905">
        <v>0</v>
      </c>
      <c r="E162" s="905"/>
      <c r="F162" s="905">
        <v>0</v>
      </c>
      <c r="G162" s="905"/>
      <c r="H162" s="51">
        <f t="shared" si="22"/>
        <v>0</v>
      </c>
      <c r="I162" s="905">
        <v>0</v>
      </c>
      <c r="J162" s="905"/>
      <c r="K162" s="51">
        <f aca="true" t="shared" si="24" ref="K162:K174">IF($D162="",0,IF($D162=0,0,+I162/$D162))</f>
        <v>0</v>
      </c>
      <c r="L162" s="52">
        <f t="shared" si="21"/>
        <v>0</v>
      </c>
    </row>
    <row r="163" spans="1:12" ht="11.25" customHeight="1">
      <c r="A163" s="136" t="s">
        <v>81</v>
      </c>
      <c r="B163" s="905">
        <v>0</v>
      </c>
      <c r="C163" s="905"/>
      <c r="D163" s="905">
        <v>0</v>
      </c>
      <c r="E163" s="905"/>
      <c r="F163" s="905">
        <v>0</v>
      </c>
      <c r="G163" s="905"/>
      <c r="H163" s="51">
        <f t="shared" si="22"/>
        <v>0</v>
      </c>
      <c r="I163" s="905">
        <v>0</v>
      </c>
      <c r="J163" s="905"/>
      <c r="K163" s="51">
        <f t="shared" si="24"/>
        <v>0</v>
      </c>
      <c r="L163" s="52">
        <f t="shared" si="21"/>
        <v>0</v>
      </c>
    </row>
    <row r="164" spans="1:12" ht="11.25" customHeight="1">
      <c r="A164" s="53" t="s">
        <v>82</v>
      </c>
      <c r="B164" s="907">
        <f>SUM(B165:C168)</f>
        <v>0</v>
      </c>
      <c r="C164" s="907"/>
      <c r="D164" s="907">
        <f>SUM(D165:E168)</f>
        <v>0</v>
      </c>
      <c r="E164" s="907"/>
      <c r="F164" s="907">
        <f>SUM(F165:G168)</f>
        <v>0</v>
      </c>
      <c r="G164" s="907"/>
      <c r="H164" s="51">
        <f t="shared" si="22"/>
        <v>0</v>
      </c>
      <c r="I164" s="907">
        <f>SUM(I165:J168)</f>
        <v>0</v>
      </c>
      <c r="J164" s="907"/>
      <c r="K164" s="48">
        <f t="shared" si="24"/>
        <v>0</v>
      </c>
      <c r="L164" s="49">
        <f t="shared" si="21"/>
        <v>0</v>
      </c>
    </row>
    <row r="165" spans="1:12" ht="11.25" customHeight="1">
      <c r="A165" s="50" t="s">
        <v>83</v>
      </c>
      <c r="B165" s="905">
        <v>0</v>
      </c>
      <c r="C165" s="905"/>
      <c r="D165" s="905">
        <v>0</v>
      </c>
      <c r="E165" s="905"/>
      <c r="F165" s="905">
        <v>0</v>
      </c>
      <c r="G165" s="905"/>
      <c r="H165" s="51">
        <f t="shared" si="22"/>
        <v>0</v>
      </c>
      <c r="I165" s="905">
        <v>0</v>
      </c>
      <c r="J165" s="905"/>
      <c r="K165" s="51">
        <f t="shared" si="24"/>
        <v>0</v>
      </c>
      <c r="L165" s="52">
        <f t="shared" si="21"/>
        <v>0</v>
      </c>
    </row>
    <row r="166" spans="1:12" ht="11.25" customHeight="1">
      <c r="A166" s="50" t="s">
        <v>178</v>
      </c>
      <c r="B166" s="905">
        <v>0</v>
      </c>
      <c r="C166" s="905"/>
      <c r="D166" s="905">
        <v>0</v>
      </c>
      <c r="E166" s="905"/>
      <c r="F166" s="905">
        <v>0</v>
      </c>
      <c r="G166" s="905"/>
      <c r="H166" s="51">
        <f t="shared" si="22"/>
        <v>0</v>
      </c>
      <c r="I166" s="905">
        <v>0</v>
      </c>
      <c r="J166" s="905"/>
      <c r="K166" s="51">
        <f t="shared" si="24"/>
        <v>0</v>
      </c>
      <c r="L166" s="52">
        <f t="shared" si="21"/>
        <v>0</v>
      </c>
    </row>
    <row r="167" spans="1:12" ht="11.25" customHeight="1">
      <c r="A167" s="50" t="s">
        <v>179</v>
      </c>
      <c r="B167" s="905">
        <v>0</v>
      </c>
      <c r="C167" s="905"/>
      <c r="D167" s="905">
        <v>0</v>
      </c>
      <c r="E167" s="905"/>
      <c r="F167" s="905">
        <v>0</v>
      </c>
      <c r="G167" s="905"/>
      <c r="H167" s="51">
        <f t="shared" si="22"/>
        <v>0</v>
      </c>
      <c r="I167" s="905">
        <v>0</v>
      </c>
      <c r="J167" s="905"/>
      <c r="K167" s="51">
        <f t="shared" si="24"/>
        <v>0</v>
      </c>
      <c r="L167" s="52">
        <f t="shared" si="21"/>
        <v>0</v>
      </c>
    </row>
    <row r="168" spans="1:12" ht="12.75" customHeight="1">
      <c r="A168" s="55" t="s">
        <v>180</v>
      </c>
      <c r="B168" s="917">
        <v>0</v>
      </c>
      <c r="C168" s="917"/>
      <c r="D168" s="917">
        <v>0</v>
      </c>
      <c r="E168" s="917"/>
      <c r="F168" s="917">
        <v>0</v>
      </c>
      <c r="G168" s="917"/>
      <c r="H168" s="58">
        <f t="shared" si="22"/>
        <v>0</v>
      </c>
      <c r="I168" s="917">
        <v>0</v>
      </c>
      <c r="J168" s="917"/>
      <c r="K168" s="58">
        <f t="shared" si="24"/>
        <v>0</v>
      </c>
      <c r="L168" s="59">
        <f t="shared" si="21"/>
        <v>0</v>
      </c>
    </row>
    <row r="169" spans="1:12" ht="11.25" customHeight="1">
      <c r="A169" s="44" t="s">
        <v>87</v>
      </c>
      <c r="B169" s="918">
        <f>+B170+B173+B177+B178+B187</f>
        <v>0</v>
      </c>
      <c r="C169" s="918"/>
      <c r="D169" s="918">
        <f>+D170+D173+D177+D178+D187</f>
        <v>0</v>
      </c>
      <c r="E169" s="918"/>
      <c r="F169" s="918">
        <f>+F170+F173+F177+F178+F187</f>
        <v>0</v>
      </c>
      <c r="G169" s="918"/>
      <c r="H169" s="132">
        <f t="shared" si="22"/>
        <v>0</v>
      </c>
      <c r="I169" s="918">
        <f>+I170+I173+I177+I178+I187</f>
        <v>0</v>
      </c>
      <c r="J169" s="918"/>
      <c r="K169" s="45">
        <f t="shared" si="24"/>
        <v>0</v>
      </c>
      <c r="L169" s="46">
        <f t="shared" si="21"/>
        <v>0</v>
      </c>
    </row>
    <row r="170" spans="1:12" ht="11.25" customHeight="1">
      <c r="A170" s="53" t="s">
        <v>88</v>
      </c>
      <c r="B170" s="907">
        <f>SUM(B171:C172)</f>
        <v>0</v>
      </c>
      <c r="C170" s="907"/>
      <c r="D170" s="907">
        <f>SUM(D171:E172)</f>
        <v>0</v>
      </c>
      <c r="E170" s="907"/>
      <c r="F170" s="907">
        <f>SUM(F171:G172)</f>
        <v>0</v>
      </c>
      <c r="G170" s="907"/>
      <c r="H170" s="51">
        <f t="shared" si="22"/>
        <v>0</v>
      </c>
      <c r="I170" s="907">
        <f>SUM(I171:J172)</f>
        <v>0</v>
      </c>
      <c r="J170" s="907"/>
      <c r="K170" s="48">
        <f t="shared" si="24"/>
        <v>0</v>
      </c>
      <c r="L170" s="49">
        <f t="shared" si="21"/>
        <v>0</v>
      </c>
    </row>
    <row r="171" spans="1:12" ht="11.25" customHeight="1">
      <c r="A171" s="50" t="s">
        <v>181</v>
      </c>
      <c r="B171" s="905">
        <v>0</v>
      </c>
      <c r="C171" s="905"/>
      <c r="D171" s="905">
        <v>0</v>
      </c>
      <c r="E171" s="905"/>
      <c r="F171" s="905">
        <v>0</v>
      </c>
      <c r="G171" s="905"/>
      <c r="H171" s="51">
        <f t="shared" si="22"/>
        <v>0</v>
      </c>
      <c r="I171" s="905">
        <v>0</v>
      </c>
      <c r="J171" s="905"/>
      <c r="K171" s="51">
        <f t="shared" si="24"/>
        <v>0</v>
      </c>
      <c r="L171" s="52">
        <f t="shared" si="21"/>
        <v>0</v>
      </c>
    </row>
    <row r="172" spans="1:12" ht="11.25" customHeight="1">
      <c r="A172" s="50" t="s">
        <v>182</v>
      </c>
      <c r="B172" s="905">
        <v>0</v>
      </c>
      <c r="C172" s="905"/>
      <c r="D172" s="905">
        <v>0</v>
      </c>
      <c r="E172" s="905"/>
      <c r="F172" s="905">
        <v>0</v>
      </c>
      <c r="G172" s="905"/>
      <c r="H172" s="51">
        <f t="shared" si="22"/>
        <v>0</v>
      </c>
      <c r="I172" s="905">
        <v>0</v>
      </c>
      <c r="J172" s="905"/>
      <c r="K172" s="51">
        <f t="shared" si="24"/>
        <v>0</v>
      </c>
      <c r="L172" s="52">
        <f t="shared" si="21"/>
        <v>0</v>
      </c>
    </row>
    <row r="173" spans="1:12" ht="11.25" customHeight="1">
      <c r="A173" s="53" t="s">
        <v>91</v>
      </c>
      <c r="B173" s="907">
        <f>SUM(B174:C176)</f>
        <v>0</v>
      </c>
      <c r="C173" s="907"/>
      <c r="D173" s="907">
        <f>SUM(D174:E176)</f>
        <v>0</v>
      </c>
      <c r="E173" s="907"/>
      <c r="F173" s="907">
        <f>SUM(F174:G176)</f>
        <v>0</v>
      </c>
      <c r="G173" s="907"/>
      <c r="H173" s="51">
        <f t="shared" si="22"/>
        <v>0</v>
      </c>
      <c r="I173" s="907">
        <f>SUM(I174:J176)</f>
        <v>0</v>
      </c>
      <c r="J173" s="907"/>
      <c r="K173" s="48">
        <f t="shared" si="24"/>
        <v>0</v>
      </c>
      <c r="L173" s="49">
        <f t="shared" si="21"/>
        <v>0</v>
      </c>
    </row>
    <row r="174" spans="1:12" ht="11.25" customHeight="1">
      <c r="A174" s="50" t="s">
        <v>92</v>
      </c>
      <c r="B174" s="905">
        <v>0</v>
      </c>
      <c r="C174" s="905"/>
      <c r="D174" s="905">
        <v>0</v>
      </c>
      <c r="E174" s="905"/>
      <c r="F174" s="905">
        <v>0</v>
      </c>
      <c r="G174" s="905"/>
      <c r="H174" s="51">
        <f t="shared" si="22"/>
        <v>0</v>
      </c>
      <c r="I174" s="905">
        <v>0</v>
      </c>
      <c r="J174" s="905"/>
      <c r="K174" s="51">
        <f t="shared" si="24"/>
        <v>0</v>
      </c>
      <c r="L174" s="52">
        <f t="shared" si="21"/>
        <v>0</v>
      </c>
    </row>
    <row r="175" spans="1:12" ht="11.25" customHeight="1">
      <c r="A175" s="50" t="s">
        <v>93</v>
      </c>
      <c r="B175" s="905">
        <v>0</v>
      </c>
      <c r="C175" s="905"/>
      <c r="D175" s="905">
        <v>0</v>
      </c>
      <c r="E175" s="905"/>
      <c r="F175" s="905">
        <v>0</v>
      </c>
      <c r="G175" s="905"/>
      <c r="H175" s="51">
        <f t="shared" si="22"/>
        <v>0</v>
      </c>
      <c r="I175" s="905">
        <v>0</v>
      </c>
      <c r="J175" s="905"/>
      <c r="K175" s="51">
        <v>0</v>
      </c>
      <c r="L175" s="52">
        <f t="shared" si="21"/>
        <v>0</v>
      </c>
    </row>
    <row r="176" spans="1:12" ht="11.25" customHeight="1">
      <c r="A176" s="50" t="s">
        <v>94</v>
      </c>
      <c r="B176" s="905">
        <v>0</v>
      </c>
      <c r="C176" s="905"/>
      <c r="D176" s="905">
        <v>0</v>
      </c>
      <c r="E176" s="905"/>
      <c r="F176" s="905">
        <v>0</v>
      </c>
      <c r="G176" s="905"/>
      <c r="H176" s="51">
        <f t="shared" si="22"/>
        <v>0</v>
      </c>
      <c r="I176" s="905">
        <v>0</v>
      </c>
      <c r="J176" s="905"/>
      <c r="K176" s="51">
        <f aca="true" t="shared" si="25" ref="K176:K184">IF($D176="",0,IF($D176=0,0,+I176/$D176))</f>
        <v>0</v>
      </c>
      <c r="L176" s="52">
        <f t="shared" si="21"/>
        <v>0</v>
      </c>
    </row>
    <row r="177" spans="1:12" ht="11.25" customHeight="1">
      <c r="A177" s="53" t="s">
        <v>95</v>
      </c>
      <c r="B177" s="907"/>
      <c r="C177" s="907"/>
      <c r="D177" s="907"/>
      <c r="E177" s="907"/>
      <c r="F177" s="907"/>
      <c r="G177" s="907"/>
      <c r="H177" s="51">
        <f t="shared" si="22"/>
        <v>0</v>
      </c>
      <c r="I177" s="907"/>
      <c r="J177" s="907"/>
      <c r="K177" s="48">
        <f t="shared" si="25"/>
        <v>0</v>
      </c>
      <c r="L177" s="49">
        <f t="shared" si="21"/>
        <v>0</v>
      </c>
    </row>
    <row r="178" spans="1:12" ht="11.25" customHeight="1">
      <c r="A178" s="53" t="s">
        <v>96</v>
      </c>
      <c r="B178" s="907">
        <f>SUM(B179:C186)</f>
        <v>0</v>
      </c>
      <c r="C178" s="907"/>
      <c r="D178" s="907">
        <f>SUM(D179:E186)</f>
        <v>0</v>
      </c>
      <c r="E178" s="907"/>
      <c r="F178" s="907">
        <f>SUM(F179:G186)</f>
        <v>0</v>
      </c>
      <c r="G178" s="907"/>
      <c r="H178" s="51">
        <f t="shared" si="22"/>
        <v>0</v>
      </c>
      <c r="I178" s="907">
        <f>SUM(I179:J186)</f>
        <v>0</v>
      </c>
      <c r="J178" s="907"/>
      <c r="K178" s="48">
        <f t="shared" si="25"/>
        <v>0</v>
      </c>
      <c r="L178" s="49">
        <f t="shared" si="21"/>
        <v>0</v>
      </c>
    </row>
    <row r="179" spans="1:12" ht="11.25" customHeight="1">
      <c r="A179" s="50" t="s">
        <v>74</v>
      </c>
      <c r="B179" s="905">
        <v>0</v>
      </c>
      <c r="C179" s="905"/>
      <c r="D179" s="905">
        <v>0</v>
      </c>
      <c r="E179" s="905"/>
      <c r="F179" s="905">
        <v>0</v>
      </c>
      <c r="G179" s="905"/>
      <c r="H179" s="51">
        <f t="shared" si="22"/>
        <v>0</v>
      </c>
      <c r="I179" s="905">
        <v>0</v>
      </c>
      <c r="J179" s="905"/>
      <c r="K179" s="51">
        <f t="shared" si="25"/>
        <v>0</v>
      </c>
      <c r="L179" s="52">
        <f t="shared" si="21"/>
        <v>0</v>
      </c>
    </row>
    <row r="180" spans="1:12" ht="11.25" customHeight="1">
      <c r="A180" s="50" t="s">
        <v>183</v>
      </c>
      <c r="B180" s="905">
        <v>0</v>
      </c>
      <c r="C180" s="905"/>
      <c r="D180" s="905">
        <v>0</v>
      </c>
      <c r="E180" s="905"/>
      <c r="F180" s="905">
        <v>0</v>
      </c>
      <c r="G180" s="905"/>
      <c r="H180" s="51">
        <f t="shared" si="22"/>
        <v>0</v>
      </c>
      <c r="I180" s="905">
        <v>0</v>
      </c>
      <c r="J180" s="905"/>
      <c r="K180" s="51">
        <f t="shared" si="25"/>
        <v>0</v>
      </c>
      <c r="L180" s="52">
        <f t="shared" si="21"/>
        <v>0</v>
      </c>
    </row>
    <row r="181" spans="1:12" ht="11.25" customHeight="1">
      <c r="A181" s="50" t="s">
        <v>76</v>
      </c>
      <c r="B181" s="905">
        <v>0</v>
      </c>
      <c r="C181" s="905"/>
      <c r="D181" s="905">
        <v>0</v>
      </c>
      <c r="E181" s="905"/>
      <c r="F181" s="905">
        <v>0</v>
      </c>
      <c r="G181" s="905"/>
      <c r="H181" s="51">
        <f t="shared" si="22"/>
        <v>0</v>
      </c>
      <c r="I181" s="905">
        <v>0</v>
      </c>
      <c r="J181" s="905"/>
      <c r="K181" s="51">
        <f t="shared" si="25"/>
        <v>0</v>
      </c>
      <c r="L181" s="52">
        <f t="shared" si="21"/>
        <v>0</v>
      </c>
    </row>
    <row r="182" spans="1:12" ht="11.25" customHeight="1">
      <c r="A182" s="50" t="s">
        <v>184</v>
      </c>
      <c r="B182" s="905">
        <v>0</v>
      </c>
      <c r="C182" s="905"/>
      <c r="D182" s="905">
        <v>0</v>
      </c>
      <c r="E182" s="905"/>
      <c r="F182" s="905">
        <v>0</v>
      </c>
      <c r="G182" s="905"/>
      <c r="H182" s="51">
        <f t="shared" si="22"/>
        <v>0</v>
      </c>
      <c r="I182" s="905">
        <v>0</v>
      </c>
      <c r="J182" s="905"/>
      <c r="K182" s="51">
        <f t="shared" si="25"/>
        <v>0</v>
      </c>
      <c r="L182" s="52">
        <f t="shared" si="21"/>
        <v>0</v>
      </c>
    </row>
    <row r="183" spans="1:12" ht="11.25" customHeight="1">
      <c r="A183" s="66" t="s">
        <v>78</v>
      </c>
      <c r="B183" s="905">
        <v>0</v>
      </c>
      <c r="C183" s="905"/>
      <c r="D183" s="905">
        <v>0</v>
      </c>
      <c r="E183" s="905"/>
      <c r="F183" s="905">
        <v>0</v>
      </c>
      <c r="G183" s="905"/>
      <c r="H183" s="51">
        <f t="shared" si="22"/>
        <v>0</v>
      </c>
      <c r="I183" s="905">
        <v>0</v>
      </c>
      <c r="J183" s="905"/>
      <c r="K183" s="51">
        <f t="shared" si="25"/>
        <v>0</v>
      </c>
      <c r="L183" s="52">
        <f t="shared" si="21"/>
        <v>0</v>
      </c>
    </row>
    <row r="184" spans="1:12" ht="14.25" customHeight="1">
      <c r="A184" s="66" t="s">
        <v>185</v>
      </c>
      <c r="B184" s="905">
        <v>0</v>
      </c>
      <c r="C184" s="905"/>
      <c r="D184" s="905">
        <v>0</v>
      </c>
      <c r="E184" s="905"/>
      <c r="F184" s="905">
        <v>0</v>
      </c>
      <c r="G184" s="905"/>
      <c r="H184" s="51">
        <f t="shared" si="22"/>
        <v>0</v>
      </c>
      <c r="I184" s="905">
        <v>0</v>
      </c>
      <c r="J184" s="905"/>
      <c r="K184" s="51">
        <f t="shared" si="25"/>
        <v>0</v>
      </c>
      <c r="L184" s="52">
        <f t="shared" si="21"/>
        <v>0</v>
      </c>
    </row>
    <row r="185" spans="1:12" ht="14.25" customHeight="1">
      <c r="A185" s="66" t="s">
        <v>186</v>
      </c>
      <c r="B185" s="905">
        <v>0</v>
      </c>
      <c r="C185" s="905"/>
      <c r="D185" s="905">
        <v>0</v>
      </c>
      <c r="E185" s="905"/>
      <c r="F185" s="905">
        <v>0</v>
      </c>
      <c r="G185" s="905"/>
      <c r="H185" s="51">
        <f t="shared" si="22"/>
        <v>0</v>
      </c>
      <c r="I185" s="905">
        <v>0</v>
      </c>
      <c r="J185" s="905"/>
      <c r="K185" s="51">
        <v>0</v>
      </c>
      <c r="L185" s="52">
        <v>0</v>
      </c>
    </row>
    <row r="186" spans="1:12" ht="14.25" customHeight="1">
      <c r="A186" s="66" t="s">
        <v>81</v>
      </c>
      <c r="B186" s="905">
        <v>0</v>
      </c>
      <c r="C186" s="905"/>
      <c r="D186" s="905">
        <v>0</v>
      </c>
      <c r="E186" s="905"/>
      <c r="F186" s="905">
        <v>0</v>
      </c>
      <c r="G186" s="905"/>
      <c r="H186" s="51">
        <f t="shared" si="22"/>
        <v>0</v>
      </c>
      <c r="I186" s="905">
        <v>0</v>
      </c>
      <c r="J186" s="905"/>
      <c r="K186" s="51">
        <f>IF($D186="",0,IF($D186=0,0,+I186/$D186))</f>
        <v>0</v>
      </c>
      <c r="L186" s="52">
        <f aca="true" t="shared" si="26" ref="L186:L191">+D186-I186</f>
        <v>0</v>
      </c>
    </row>
    <row r="187" spans="1:12" ht="11.25" customHeight="1">
      <c r="A187" s="53" t="s">
        <v>99</v>
      </c>
      <c r="B187" s="907">
        <f>SUM(B188:C191)</f>
        <v>0</v>
      </c>
      <c r="C187" s="907"/>
      <c r="D187" s="907">
        <f>SUM(D188:E191)</f>
        <v>0</v>
      </c>
      <c r="E187" s="907"/>
      <c r="F187" s="907">
        <f>SUM(F188:G191)</f>
        <v>0</v>
      </c>
      <c r="G187" s="907"/>
      <c r="H187" s="51">
        <f t="shared" si="22"/>
        <v>0</v>
      </c>
      <c r="I187" s="907">
        <f>SUM(I188:J191)</f>
        <v>0</v>
      </c>
      <c r="J187" s="907"/>
      <c r="K187" s="48">
        <f>IF($D187="",0,IF($D187=0,0,+I187/$D187))</f>
        <v>0</v>
      </c>
      <c r="L187" s="49">
        <f t="shared" si="26"/>
        <v>0</v>
      </c>
    </row>
    <row r="188" spans="1:12" ht="11.25" customHeight="1">
      <c r="A188" s="50" t="s">
        <v>100</v>
      </c>
      <c r="B188" s="905">
        <v>0</v>
      </c>
      <c r="C188" s="905"/>
      <c r="D188" s="905">
        <v>0</v>
      </c>
      <c r="E188" s="905"/>
      <c r="F188" s="905">
        <v>0</v>
      </c>
      <c r="G188" s="905"/>
      <c r="H188" s="51">
        <f t="shared" si="22"/>
        <v>0</v>
      </c>
      <c r="I188" s="905">
        <v>0</v>
      </c>
      <c r="J188" s="905"/>
      <c r="K188" s="51">
        <f>IF($D188="",0,IF($D188=0,0,+I188/$D188))</f>
        <v>0</v>
      </c>
      <c r="L188" s="52">
        <f t="shared" si="26"/>
        <v>0</v>
      </c>
    </row>
    <row r="189" spans="1:12" ht="14.25" customHeight="1">
      <c r="A189" s="66" t="s">
        <v>187</v>
      </c>
      <c r="B189" s="905">
        <v>0</v>
      </c>
      <c r="C189" s="905"/>
      <c r="D189" s="905">
        <v>0</v>
      </c>
      <c r="E189" s="905"/>
      <c r="F189" s="905">
        <v>0</v>
      </c>
      <c r="G189" s="905"/>
      <c r="H189" s="51">
        <f t="shared" si="22"/>
        <v>0</v>
      </c>
      <c r="I189" s="905">
        <v>0</v>
      </c>
      <c r="J189" s="905"/>
      <c r="K189" s="51">
        <f>IF($D189="",0,IF($D189=0,0,+I189/$D189))</f>
        <v>0</v>
      </c>
      <c r="L189" s="52">
        <f t="shared" si="26"/>
        <v>0</v>
      </c>
    </row>
    <row r="190" spans="1:12" ht="14.25" customHeight="1">
      <c r="A190" s="66" t="s">
        <v>188</v>
      </c>
      <c r="B190" s="67">
        <v>0</v>
      </c>
      <c r="C190" s="68"/>
      <c r="D190" s="67">
        <v>0</v>
      </c>
      <c r="E190" s="68"/>
      <c r="F190" s="67">
        <v>0</v>
      </c>
      <c r="G190" s="68"/>
      <c r="H190" s="51">
        <f t="shared" si="22"/>
        <v>0</v>
      </c>
      <c r="I190" s="912">
        <v>0</v>
      </c>
      <c r="J190" s="912"/>
      <c r="K190" s="51">
        <f>IF(D190="",0,IF(D190=0,0,I190/D190))</f>
        <v>0</v>
      </c>
      <c r="L190" s="52">
        <f t="shared" si="26"/>
        <v>0</v>
      </c>
    </row>
    <row r="191" spans="1:12" ht="14.25" customHeight="1">
      <c r="A191" s="66" t="s">
        <v>189</v>
      </c>
      <c r="B191" s="67">
        <v>0</v>
      </c>
      <c r="C191" s="68"/>
      <c r="D191" s="67">
        <v>0</v>
      </c>
      <c r="E191" s="68"/>
      <c r="F191" s="67">
        <v>0</v>
      </c>
      <c r="G191" s="68"/>
      <c r="H191" s="51">
        <f t="shared" si="22"/>
        <v>0</v>
      </c>
      <c r="I191" s="912">
        <v>0</v>
      </c>
      <c r="J191" s="912"/>
      <c r="K191" s="51">
        <f>IF(D191="",0,IF(D191=0,0,I191/D191))</f>
        <v>0</v>
      </c>
      <c r="L191" s="52">
        <f t="shared" si="26"/>
        <v>0</v>
      </c>
    </row>
    <row r="192" spans="1:12" ht="11.25" customHeight="1">
      <c r="A192" s="913" t="s">
        <v>190</v>
      </c>
      <c r="B192" s="914" t="s">
        <v>117</v>
      </c>
      <c r="C192" s="914" t="s">
        <v>118</v>
      </c>
      <c r="D192" s="909" t="s">
        <v>119</v>
      </c>
      <c r="E192" s="909"/>
      <c r="F192" s="915" t="s">
        <v>36</v>
      </c>
      <c r="G192" s="916" t="s">
        <v>120</v>
      </c>
      <c r="H192" s="916"/>
      <c r="I192" s="915" t="s">
        <v>36</v>
      </c>
      <c r="J192" s="914" t="s">
        <v>121</v>
      </c>
      <c r="K192" s="908" t="s">
        <v>191</v>
      </c>
      <c r="L192" s="908"/>
    </row>
    <row r="193" spans="1:12" ht="26.25" customHeight="1">
      <c r="A193" s="913"/>
      <c r="B193" s="914"/>
      <c r="C193" s="914"/>
      <c r="D193" s="909" t="s">
        <v>37</v>
      </c>
      <c r="E193" s="137" t="s">
        <v>192</v>
      </c>
      <c r="F193" s="915"/>
      <c r="G193" s="909" t="s">
        <v>37</v>
      </c>
      <c r="H193" s="137" t="s">
        <v>192</v>
      </c>
      <c r="I193" s="915"/>
      <c r="J193" s="914"/>
      <c r="K193" s="908"/>
      <c r="L193" s="908"/>
    </row>
    <row r="194" spans="1:12" ht="15.75" customHeight="1">
      <c r="A194" s="913"/>
      <c r="B194" s="138" t="s">
        <v>124</v>
      </c>
      <c r="C194" s="138" t="s">
        <v>125</v>
      </c>
      <c r="D194" s="909"/>
      <c r="E194" s="138" t="s">
        <v>126</v>
      </c>
      <c r="F194" s="139" t="s">
        <v>127</v>
      </c>
      <c r="G194" s="909"/>
      <c r="H194" s="93" t="s">
        <v>128</v>
      </c>
      <c r="I194" s="139" t="s">
        <v>129</v>
      </c>
      <c r="J194" s="93" t="s">
        <v>130</v>
      </c>
      <c r="K194" s="910" t="s">
        <v>131</v>
      </c>
      <c r="L194" s="910"/>
    </row>
    <row r="195" spans="1:12" ht="11.25" customHeight="1">
      <c r="A195" s="107" t="s">
        <v>142</v>
      </c>
      <c r="B195" s="140">
        <f>+B196+B200</f>
        <v>0</v>
      </c>
      <c r="C195" s="140">
        <f>+C196+C200</f>
        <v>0</v>
      </c>
      <c r="D195" s="140">
        <f>+D196+D200</f>
        <v>0</v>
      </c>
      <c r="E195" s="140">
        <f>+E196+E200</f>
        <v>0</v>
      </c>
      <c r="F195" s="140">
        <f aca="true" t="shared" si="27" ref="F195:F202">+C195-E195</f>
        <v>0</v>
      </c>
      <c r="G195" s="140">
        <f>+G196+G200</f>
        <v>0</v>
      </c>
      <c r="H195" s="140">
        <f>+H196+H200</f>
        <v>0</v>
      </c>
      <c r="I195" s="140">
        <f aca="true" t="shared" si="28" ref="I195:I202">+C195-H195</f>
        <v>0</v>
      </c>
      <c r="J195" s="140">
        <f>+J196+J200</f>
        <v>0</v>
      </c>
      <c r="K195" s="911">
        <f>+K196+K200</f>
        <v>0</v>
      </c>
      <c r="L195" s="911"/>
    </row>
    <row r="196" spans="1:12" ht="11.25" customHeight="1">
      <c r="A196" s="141" t="s">
        <v>133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7"/>
        <v>0</v>
      </c>
      <c r="G196" s="49">
        <f>SUM(G197:G199)</f>
        <v>0</v>
      </c>
      <c r="H196" s="49">
        <f>SUM(H197:H199)</f>
        <v>0</v>
      </c>
      <c r="I196" s="49">
        <f t="shared" si="28"/>
        <v>0</v>
      </c>
      <c r="J196" s="49">
        <f>SUM(J197:J199)</f>
        <v>0</v>
      </c>
      <c r="K196" s="907">
        <f>SUM(K197:K199)</f>
        <v>0</v>
      </c>
      <c r="L196" s="907"/>
    </row>
    <row r="197" spans="1:12" ht="11.25" customHeight="1">
      <c r="A197" s="24" t="s">
        <v>134</v>
      </c>
      <c r="B197" s="98">
        <v>0</v>
      </c>
      <c r="C197" s="98">
        <v>0</v>
      </c>
      <c r="D197" s="98">
        <v>0</v>
      </c>
      <c r="E197" s="98">
        <v>0</v>
      </c>
      <c r="F197" s="27">
        <f t="shared" si="27"/>
        <v>0</v>
      </c>
      <c r="G197" s="98">
        <v>0</v>
      </c>
      <c r="H197" s="142">
        <v>0</v>
      </c>
      <c r="I197" s="52">
        <f t="shared" si="28"/>
        <v>0</v>
      </c>
      <c r="J197" s="98">
        <v>0</v>
      </c>
      <c r="K197" s="905">
        <v>0</v>
      </c>
      <c r="L197" s="905"/>
    </row>
    <row r="198" spans="1:12" ht="11.25" customHeight="1">
      <c r="A198" s="24" t="s">
        <v>135</v>
      </c>
      <c r="B198" s="110">
        <v>0</v>
      </c>
      <c r="C198" s="110">
        <v>0</v>
      </c>
      <c r="D198" s="110">
        <v>0</v>
      </c>
      <c r="E198" s="110">
        <v>0</v>
      </c>
      <c r="F198" s="27">
        <f t="shared" si="27"/>
        <v>0</v>
      </c>
      <c r="G198" s="110">
        <v>0</v>
      </c>
      <c r="H198" s="143">
        <v>0</v>
      </c>
      <c r="I198" s="52">
        <f t="shared" si="28"/>
        <v>0</v>
      </c>
      <c r="J198" s="110">
        <v>0</v>
      </c>
      <c r="K198" s="905">
        <v>0</v>
      </c>
      <c r="L198" s="905"/>
    </row>
    <row r="199" spans="1:12" ht="11.25" customHeight="1">
      <c r="A199" s="24" t="s">
        <v>136</v>
      </c>
      <c r="B199" s="110">
        <v>0</v>
      </c>
      <c r="C199" s="110">
        <v>0</v>
      </c>
      <c r="D199" s="110">
        <v>0</v>
      </c>
      <c r="E199" s="110">
        <v>0</v>
      </c>
      <c r="F199" s="27">
        <f t="shared" si="27"/>
        <v>0</v>
      </c>
      <c r="G199" s="110">
        <v>0</v>
      </c>
      <c r="H199" s="143">
        <v>0</v>
      </c>
      <c r="I199" s="52">
        <f t="shared" si="28"/>
        <v>0</v>
      </c>
      <c r="J199" s="110">
        <v>0</v>
      </c>
      <c r="K199" s="905">
        <v>0</v>
      </c>
      <c r="L199" s="905"/>
    </row>
    <row r="200" spans="1:12" ht="11.25" customHeight="1">
      <c r="A200" s="141" t="s">
        <v>137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7"/>
        <v>0</v>
      </c>
      <c r="G200" s="49">
        <f>SUM(G201:G204)</f>
        <v>0</v>
      </c>
      <c r="H200" s="49">
        <f>SUM(H201:H204)</f>
        <v>0</v>
      </c>
      <c r="I200" s="49">
        <f t="shared" si="28"/>
        <v>0</v>
      </c>
      <c r="J200" s="49">
        <f>SUM(J201:J204)</f>
        <v>0</v>
      </c>
      <c r="K200" s="907">
        <f>SUM(K201:K204)</f>
        <v>0</v>
      </c>
      <c r="L200" s="907"/>
    </row>
    <row r="201" spans="1:12" ht="11.25" customHeight="1">
      <c r="A201" s="144" t="s">
        <v>138</v>
      </c>
      <c r="B201" s="143">
        <v>0</v>
      </c>
      <c r="C201" s="110">
        <v>0</v>
      </c>
      <c r="D201" s="143">
        <v>0</v>
      </c>
      <c r="E201" s="110">
        <v>0</v>
      </c>
      <c r="F201" s="27">
        <f t="shared" si="27"/>
        <v>0</v>
      </c>
      <c r="G201" s="110">
        <v>0</v>
      </c>
      <c r="H201" s="143">
        <v>0</v>
      </c>
      <c r="I201" s="52">
        <f t="shared" si="28"/>
        <v>0</v>
      </c>
      <c r="J201" s="110">
        <v>0</v>
      </c>
      <c r="K201" s="905">
        <v>0</v>
      </c>
      <c r="L201" s="905"/>
    </row>
    <row r="202" spans="1:12" ht="11.25" customHeight="1">
      <c r="A202" s="144" t="s">
        <v>139</v>
      </c>
      <c r="B202" s="143">
        <v>0</v>
      </c>
      <c r="C202" s="110">
        <v>0</v>
      </c>
      <c r="D202" s="143">
        <v>0</v>
      </c>
      <c r="E202" s="110">
        <v>0</v>
      </c>
      <c r="F202" s="27">
        <f t="shared" si="27"/>
        <v>0</v>
      </c>
      <c r="G202" s="110">
        <v>0</v>
      </c>
      <c r="H202" s="143">
        <v>0</v>
      </c>
      <c r="I202" s="52">
        <f t="shared" si="28"/>
        <v>0</v>
      </c>
      <c r="J202" s="110">
        <v>0</v>
      </c>
      <c r="K202" s="905">
        <v>0</v>
      </c>
      <c r="L202" s="905"/>
    </row>
    <row r="203" spans="1:12" ht="11.25" customHeight="1">
      <c r="A203" s="144" t="s">
        <v>193</v>
      </c>
      <c r="B203" s="143">
        <v>0</v>
      </c>
      <c r="C203" s="110">
        <v>0</v>
      </c>
      <c r="D203" s="143">
        <v>0</v>
      </c>
      <c r="E203" s="110">
        <v>0</v>
      </c>
      <c r="F203" s="27">
        <v>0</v>
      </c>
      <c r="G203" s="110">
        <v>0</v>
      </c>
      <c r="H203" s="143">
        <v>0</v>
      </c>
      <c r="I203" s="52">
        <v>0</v>
      </c>
      <c r="J203" s="110">
        <v>0</v>
      </c>
      <c r="K203" s="905">
        <v>0</v>
      </c>
      <c r="L203" s="905"/>
    </row>
    <row r="204" spans="1:12" ht="11.25" customHeight="1">
      <c r="A204" s="145" t="s">
        <v>194</v>
      </c>
      <c r="B204" s="146">
        <v>0</v>
      </c>
      <c r="C204" s="147">
        <v>0</v>
      </c>
      <c r="D204" s="146">
        <v>0</v>
      </c>
      <c r="E204" s="147"/>
      <c r="F204" s="148">
        <f>+C204-E204</f>
        <v>0</v>
      </c>
      <c r="G204" s="147">
        <v>0</v>
      </c>
      <c r="H204" s="146"/>
      <c r="I204" s="148">
        <f>+C204-H204</f>
        <v>0</v>
      </c>
      <c r="J204" s="147"/>
      <c r="K204" s="906">
        <v>0</v>
      </c>
      <c r="L204" s="906"/>
    </row>
    <row r="65535" ht="12.75" customHeight="1"/>
    <row r="65536" ht="12.75" customHeight="1"/>
  </sheetData>
  <sheetProtection password="F3F6" sheet="1"/>
  <mergeCells count="655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D75:E75"/>
    <mergeCell ref="F75:G75"/>
    <mergeCell ref="I75:J75"/>
    <mergeCell ref="B76:C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195:L195"/>
    <mergeCell ref="K196:L196"/>
    <mergeCell ref="K203:L203"/>
    <mergeCell ref="K204:L204"/>
    <mergeCell ref="K197:L197"/>
    <mergeCell ref="K198:L198"/>
    <mergeCell ref="K199:L199"/>
    <mergeCell ref="K200:L200"/>
    <mergeCell ref="K201:L201"/>
    <mergeCell ref="K202:L202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">
      <selection activeCell="A24" sqref="A24"/>
    </sheetView>
  </sheetViews>
  <sheetFormatPr defaultColWidth="7.421875" defaultRowHeight="12.75" customHeight="1"/>
  <cols>
    <col min="1" max="1" width="46.28125" style="149" customWidth="1"/>
    <col min="2" max="5" width="17.57421875" style="149" customWidth="1"/>
    <col min="6" max="6" width="9.28125" style="149" customWidth="1"/>
    <col min="7" max="7" width="17.7109375" style="149" customWidth="1"/>
    <col min="8" max="9" width="17.57421875" style="149" customWidth="1"/>
    <col min="10" max="10" width="9.28125" style="149" customWidth="1"/>
    <col min="11" max="11" width="17.7109375" style="149" customWidth="1"/>
    <col min="12" max="12" width="17.57421875" style="149" customWidth="1"/>
    <col min="13" max="13" width="13.8515625" style="149" customWidth="1"/>
    <col min="14" max="14" width="5.28125" style="150" customWidth="1"/>
    <col min="15" max="16" width="15.00390625" style="150" customWidth="1"/>
    <col min="17" max="17" width="21.57421875" style="150" customWidth="1"/>
    <col min="18" max="18" width="13.00390625" style="150" customWidth="1"/>
    <col min="19" max="16384" width="7.421875" style="150" customWidth="1"/>
  </cols>
  <sheetData>
    <row r="1" ht="15.75" customHeight="1">
      <c r="A1" s="151" t="s">
        <v>195</v>
      </c>
    </row>
    <row r="2" ht="11.25" customHeight="1">
      <c r="A2" s="34"/>
    </row>
    <row r="3" spans="1:13" ht="12.75" customHeight="1">
      <c r="A3" s="945" t="str">
        <f>+'Informações Iniciais'!A1</f>
        <v>MUNICÍPIO DE RIBAMAR FIQUENE - PODER EXECUTIVO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22"/>
    </row>
    <row r="4" spans="1:13" ht="12.75" customHeight="1">
      <c r="A4" s="946" t="s">
        <v>0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152"/>
    </row>
    <row r="5" spans="1:13" ht="12.75" customHeight="1">
      <c r="A5" s="947" t="s">
        <v>196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153"/>
    </row>
    <row r="6" spans="1:13" ht="12.75" customHeight="1">
      <c r="A6" s="948" t="s">
        <v>29</v>
      </c>
      <c r="B6" s="948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154"/>
    </row>
    <row r="7" spans="1:13" ht="12.75" customHeight="1">
      <c r="A7" s="945" t="str">
        <f>+'Informações Iniciais'!A5</f>
        <v>3º Bimestre de 2020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22"/>
    </row>
    <row r="8" spans="1:13" ht="12.75" customHeight="1">
      <c r="A8" s="958"/>
      <c r="B8" s="958"/>
      <c r="C8" s="958"/>
      <c r="D8" s="958"/>
      <c r="E8" s="958"/>
      <c r="F8" s="958"/>
      <c r="G8" s="958"/>
      <c r="H8" s="958"/>
      <c r="I8" s="958"/>
      <c r="J8" s="958"/>
      <c r="K8" s="958"/>
      <c r="L8" s="958"/>
      <c r="M8" s="150"/>
    </row>
    <row r="9" spans="1:12" ht="12.75" customHeight="1">
      <c r="A9" s="152" t="s">
        <v>197</v>
      </c>
      <c r="B9" s="136"/>
      <c r="C9" s="150"/>
      <c r="D9" s="150"/>
      <c r="E9" s="155"/>
      <c r="F9" s="155"/>
      <c r="G9" s="155"/>
      <c r="H9" s="155"/>
      <c r="I9" s="150"/>
      <c r="J9" s="150"/>
      <c r="K9" s="150"/>
      <c r="L9" s="156" t="s">
        <v>31</v>
      </c>
    </row>
    <row r="10" spans="1:13" ht="18" customHeight="1">
      <c r="A10" s="954" t="s">
        <v>198</v>
      </c>
      <c r="B10" s="157" t="s">
        <v>199</v>
      </c>
      <c r="C10" s="157" t="s">
        <v>199</v>
      </c>
      <c r="D10" s="955" t="s">
        <v>119</v>
      </c>
      <c r="E10" s="955"/>
      <c r="F10" s="955"/>
      <c r="G10" s="915" t="s">
        <v>36</v>
      </c>
      <c r="H10" s="956" t="s">
        <v>120</v>
      </c>
      <c r="I10" s="956"/>
      <c r="J10" s="956"/>
      <c r="K10" s="915" t="s">
        <v>36</v>
      </c>
      <c r="L10" s="957" t="s">
        <v>200</v>
      </c>
      <c r="M10" s="150"/>
    </row>
    <row r="11" spans="1:13" ht="12.75" customHeight="1">
      <c r="A11" s="954"/>
      <c r="B11" s="159" t="s">
        <v>201</v>
      </c>
      <c r="C11" s="159" t="s">
        <v>202</v>
      </c>
      <c r="D11" s="955" t="s">
        <v>37</v>
      </c>
      <c r="E11" s="157" t="s">
        <v>39</v>
      </c>
      <c r="F11" s="157" t="s">
        <v>38</v>
      </c>
      <c r="G11" s="915"/>
      <c r="H11" s="955" t="s">
        <v>37</v>
      </c>
      <c r="I11" s="157" t="s">
        <v>39</v>
      </c>
      <c r="J11" s="157" t="s">
        <v>38</v>
      </c>
      <c r="K11" s="915"/>
      <c r="L11" s="957"/>
      <c r="M11" s="150"/>
    </row>
    <row r="12" spans="1:12" s="163" customFormat="1" ht="24" customHeight="1">
      <c r="A12" s="954"/>
      <c r="B12" s="160"/>
      <c r="C12" s="161" t="s">
        <v>40</v>
      </c>
      <c r="D12" s="955"/>
      <c r="E12" s="161" t="s">
        <v>41</v>
      </c>
      <c r="F12" s="161" t="s">
        <v>203</v>
      </c>
      <c r="G12" s="162" t="s">
        <v>204</v>
      </c>
      <c r="H12" s="955"/>
      <c r="I12" s="161" t="s">
        <v>124</v>
      </c>
      <c r="J12" s="161" t="s">
        <v>205</v>
      </c>
      <c r="K12" s="162" t="s">
        <v>206</v>
      </c>
      <c r="L12" s="957"/>
    </row>
    <row r="13" spans="1:12" s="163" customFormat="1" ht="12.75" customHeight="1">
      <c r="A13" s="164" t="s">
        <v>207</v>
      </c>
      <c r="B13" s="165">
        <f>+B14+B18+B22+B26+B39+B44+B49+B53+B59+B65+B73+B79+B89+B93+B98+B103+B107+B111+B118+B123+B130+B133+B140+B147+B151+B157+B164+B169+B178+B179</f>
        <v>37959000</v>
      </c>
      <c r="C13" s="165">
        <f>+C14+C18+C22+C26+C39+C44+C49+C53+C59+C65+C73+C79+C89+C93+C98+C103+C107+C111+C118+C123+C130+C133+C140+C147+C151+C157+C164+C169+C178+C179</f>
        <v>37959000</v>
      </c>
      <c r="D13" s="165">
        <f>+D14+D18+D22+D26+D39+D44+D49+D53+D59+D65+D73+D79+D89+D93+D98+D103+D107+D111+D118+D123+D130+D133+D140+D147+D151+D157+D164+D169+D178+D179</f>
        <v>4216684.41</v>
      </c>
      <c r="E13" s="165">
        <f>+E14+E18+E22+E26+E39+E44+E49+E53+E59+E65+E73+E79+E89+E93+E98+E103+E107+E111+E118+E123+E130+E133+E140+E147+E151+E157+E164+E169+E178+E179</f>
        <v>11812569.559999999</v>
      </c>
      <c r="F13" s="165">
        <f aca="true" t="shared" si="0" ref="F13:F86">IF(E$181="",0,IF(E$181=0,0,E13/E$181))</f>
        <v>1</v>
      </c>
      <c r="G13" s="165">
        <f aca="true" t="shared" si="1" ref="G13:G180">+C13-E13</f>
        <v>26146430.44</v>
      </c>
      <c r="H13" s="165">
        <f>+H14+H18+H22+H26+H39+H44+H49+H53+H59+H65+H73+H79+H89+H93+H98+H103+H107+H111+H118+H123+H130+H133+H140+H147+H151+H157+H164+H169+H178+H179</f>
        <v>3158931.98</v>
      </c>
      <c r="I13" s="165">
        <f>+I14+I18+I22+I26+I39+I44+I49+I53+I59+I65+I73+I79+I89+I93+I98+I103+I107+I111+I118+I123+I130+I133+I140+I147+I151+I157+I164+I169+I178+I179</f>
        <v>8756997.36</v>
      </c>
      <c r="J13" s="165">
        <f>IF(I181="",0,IF(I181=0,0,I13/I$181))</f>
        <v>1</v>
      </c>
      <c r="K13" s="165">
        <f aca="true" t="shared" si="2" ref="K13:K180">+C13-I13</f>
        <v>29202002.64</v>
      </c>
      <c r="L13" s="165">
        <f>+L14+L18+L22+L26+L39+L44+L49+L53+L59+L65+L73+L79+L89+L93+L98+L103+L107+L111+L118+L123+L130+L133+L140+L147+L151+L157+L164+L169+L178+L179</f>
        <v>0</v>
      </c>
    </row>
    <row r="14" spans="1:12" s="163" customFormat="1" ht="12.75" customHeight="1">
      <c r="A14" s="166" t="s">
        <v>208</v>
      </c>
      <c r="B14" s="49">
        <f>SUM(B15:B17)</f>
        <v>864000</v>
      </c>
      <c r="C14" s="49">
        <f>SUM(C15:C17)</f>
        <v>864000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864000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864000</v>
      </c>
      <c r="L14" s="49">
        <f>SUM(L15:L17)</f>
        <v>0</v>
      </c>
    </row>
    <row r="15" spans="1:13" ht="12.75" customHeight="1">
      <c r="A15" s="167" t="s">
        <v>209</v>
      </c>
      <c r="B15" s="168">
        <v>864000</v>
      </c>
      <c r="C15" s="98">
        <v>864000</v>
      </c>
      <c r="D15" s="110">
        <v>0</v>
      </c>
      <c r="E15" s="110">
        <v>0</v>
      </c>
      <c r="F15" s="52">
        <f t="shared" si="0"/>
        <v>0</v>
      </c>
      <c r="G15" s="52">
        <f t="shared" si="1"/>
        <v>864000</v>
      </c>
      <c r="H15" s="110">
        <v>0</v>
      </c>
      <c r="I15" s="110">
        <v>0</v>
      </c>
      <c r="J15" s="169">
        <f t="shared" si="3"/>
        <v>0</v>
      </c>
      <c r="K15" s="169">
        <f t="shared" si="2"/>
        <v>864000</v>
      </c>
      <c r="L15" s="110">
        <v>0</v>
      </c>
      <c r="M15" s="150"/>
    </row>
    <row r="16" spans="1:13" ht="12.75" customHeight="1">
      <c r="A16" s="167" t="s">
        <v>210</v>
      </c>
      <c r="B16" s="168">
        <v>0</v>
      </c>
      <c r="C16" s="98">
        <v>0</v>
      </c>
      <c r="D16" s="110">
        <v>0</v>
      </c>
      <c r="E16" s="110">
        <v>0</v>
      </c>
      <c r="F16" s="52">
        <f t="shared" si="0"/>
        <v>0</v>
      </c>
      <c r="G16" s="52">
        <f t="shared" si="1"/>
        <v>0</v>
      </c>
      <c r="H16" s="110">
        <v>0</v>
      </c>
      <c r="I16" s="110">
        <v>0</v>
      </c>
      <c r="J16" s="169">
        <f t="shared" si="3"/>
        <v>0</v>
      </c>
      <c r="K16" s="169">
        <f t="shared" si="2"/>
        <v>0</v>
      </c>
      <c r="L16" s="110">
        <v>0</v>
      </c>
      <c r="M16" s="150"/>
    </row>
    <row r="17" spans="1:13" ht="12.75" customHeight="1">
      <c r="A17" s="167" t="s">
        <v>211</v>
      </c>
      <c r="B17" s="168">
        <v>0</v>
      </c>
      <c r="C17" s="98">
        <v>0</v>
      </c>
      <c r="D17" s="110">
        <v>0</v>
      </c>
      <c r="E17" s="110">
        <v>0</v>
      </c>
      <c r="F17" s="52">
        <f t="shared" si="0"/>
        <v>0</v>
      </c>
      <c r="G17" s="52">
        <f t="shared" si="1"/>
        <v>0</v>
      </c>
      <c r="H17" s="110">
        <v>0</v>
      </c>
      <c r="I17" s="110">
        <v>0</v>
      </c>
      <c r="J17" s="52">
        <f t="shared" si="3"/>
        <v>0</v>
      </c>
      <c r="K17" s="169">
        <f t="shared" si="2"/>
        <v>0</v>
      </c>
      <c r="L17" s="110">
        <v>0</v>
      </c>
      <c r="M17" s="136"/>
    </row>
    <row r="18" spans="1:15" ht="12.75" customHeight="1">
      <c r="A18" s="166" t="s">
        <v>212</v>
      </c>
      <c r="B18" s="49">
        <f>SUM(B19:B21)</f>
        <v>88000</v>
      </c>
      <c r="C18" s="49">
        <f>SUM(C19:C21)</f>
        <v>88000</v>
      </c>
      <c r="D18" s="49">
        <f>SUM(D19:D21)</f>
        <v>27699.69</v>
      </c>
      <c r="E18" s="49">
        <f>SUM(E19:E21)</f>
        <v>27699.69</v>
      </c>
      <c r="F18" s="49">
        <f t="shared" si="0"/>
        <v>0.0023449334930307915</v>
      </c>
      <c r="G18" s="49">
        <f t="shared" si="1"/>
        <v>60300.31</v>
      </c>
      <c r="H18" s="49">
        <f>SUM(H19:H21)</f>
        <v>27699.69</v>
      </c>
      <c r="I18" s="49">
        <f>SUM(I19:I21)</f>
        <v>27699.69</v>
      </c>
      <c r="J18" s="49">
        <f t="shared" si="3"/>
        <v>0</v>
      </c>
      <c r="K18" s="49">
        <f t="shared" si="2"/>
        <v>60300.31</v>
      </c>
      <c r="L18" s="49">
        <f>SUM(L19:L21)</f>
        <v>0</v>
      </c>
      <c r="M18" s="136"/>
      <c r="O18" s="953"/>
    </row>
    <row r="19" spans="1:15" ht="12.75" customHeight="1">
      <c r="A19" s="167" t="s">
        <v>213</v>
      </c>
      <c r="B19" s="110">
        <v>0</v>
      </c>
      <c r="C19" s="110">
        <v>0</v>
      </c>
      <c r="D19" s="110">
        <v>0</v>
      </c>
      <c r="E19" s="110">
        <v>0</v>
      </c>
      <c r="F19" s="52">
        <f t="shared" si="0"/>
        <v>0</v>
      </c>
      <c r="G19" s="52">
        <f t="shared" si="1"/>
        <v>0</v>
      </c>
      <c r="H19" s="110">
        <v>0</v>
      </c>
      <c r="I19" s="110">
        <v>0</v>
      </c>
      <c r="J19" s="52">
        <f t="shared" si="3"/>
        <v>0</v>
      </c>
      <c r="K19" s="169">
        <f t="shared" si="2"/>
        <v>0</v>
      </c>
      <c r="L19" s="110">
        <v>0</v>
      </c>
      <c r="M19" s="136"/>
      <c r="O19" s="953"/>
    </row>
    <row r="20" spans="1:15" ht="12.75" customHeight="1">
      <c r="A20" s="167" t="s">
        <v>214</v>
      </c>
      <c r="B20" s="110">
        <v>0</v>
      </c>
      <c r="C20" s="110">
        <v>0</v>
      </c>
      <c r="D20" s="110">
        <v>0</v>
      </c>
      <c r="E20" s="110">
        <v>0</v>
      </c>
      <c r="F20" s="52">
        <f t="shared" si="0"/>
        <v>0</v>
      </c>
      <c r="G20" s="52">
        <f t="shared" si="1"/>
        <v>0</v>
      </c>
      <c r="H20" s="110">
        <v>0</v>
      </c>
      <c r="I20" s="110">
        <v>0</v>
      </c>
      <c r="J20" s="52">
        <f t="shared" si="3"/>
        <v>0</v>
      </c>
      <c r="K20" s="169">
        <f t="shared" si="2"/>
        <v>0</v>
      </c>
      <c r="L20" s="110">
        <v>0</v>
      </c>
      <c r="M20" s="136"/>
      <c r="O20" s="953"/>
    </row>
    <row r="21" spans="1:13" ht="12.75" customHeight="1">
      <c r="A21" s="167" t="s">
        <v>211</v>
      </c>
      <c r="B21" s="110">
        <v>88000</v>
      </c>
      <c r="C21" s="110">
        <v>88000</v>
      </c>
      <c r="D21" s="110">
        <v>27699.69</v>
      </c>
      <c r="E21" s="110">
        <v>27699.69</v>
      </c>
      <c r="F21" s="52">
        <f t="shared" si="0"/>
        <v>0.0023449334930307915</v>
      </c>
      <c r="G21" s="52">
        <f t="shared" si="1"/>
        <v>60300.31</v>
      </c>
      <c r="H21" s="110">
        <v>27699.69</v>
      </c>
      <c r="I21" s="110">
        <v>27699.69</v>
      </c>
      <c r="J21" s="52">
        <f t="shared" si="3"/>
        <v>0</v>
      </c>
      <c r="K21" s="169">
        <f t="shared" si="2"/>
        <v>60300.31</v>
      </c>
      <c r="L21" s="110">
        <v>0</v>
      </c>
      <c r="M21" s="136"/>
    </row>
    <row r="22" spans="1:13" ht="12.75" customHeight="1">
      <c r="A22" s="166" t="s">
        <v>215</v>
      </c>
      <c r="B22" s="49">
        <f>SUM(B23:B25)</f>
        <v>418000</v>
      </c>
      <c r="C22" s="49">
        <f>SUM(C23:C25)</f>
        <v>418000</v>
      </c>
      <c r="D22" s="49">
        <f>SUM(D23:D25)</f>
        <v>0</v>
      </c>
      <c r="E22" s="49">
        <f>SUM(E23:E25)</f>
        <v>1050</v>
      </c>
      <c r="F22" s="49">
        <f t="shared" si="0"/>
        <v>8.888836545399357E-05</v>
      </c>
      <c r="G22" s="49">
        <f t="shared" si="1"/>
        <v>416950</v>
      </c>
      <c r="H22" s="49">
        <f>SUM(H23:H25)</f>
        <v>0</v>
      </c>
      <c r="I22" s="49">
        <f>SUM(I23:I25)</f>
        <v>1050</v>
      </c>
      <c r="J22" s="49">
        <f t="shared" si="3"/>
        <v>0</v>
      </c>
      <c r="K22" s="49">
        <f t="shared" si="2"/>
        <v>416950</v>
      </c>
      <c r="L22" s="49">
        <f>SUM(L23:L25)</f>
        <v>0</v>
      </c>
      <c r="M22" s="136"/>
    </row>
    <row r="23" spans="1:13" ht="12.75" customHeight="1">
      <c r="A23" s="167" t="s">
        <v>216</v>
      </c>
      <c r="B23" s="110">
        <v>253000</v>
      </c>
      <c r="C23" s="110">
        <v>253000</v>
      </c>
      <c r="D23" s="110">
        <v>0</v>
      </c>
      <c r="E23" s="110">
        <v>0</v>
      </c>
      <c r="F23" s="52">
        <f t="shared" si="0"/>
        <v>0</v>
      </c>
      <c r="G23" s="52">
        <f t="shared" si="1"/>
        <v>253000</v>
      </c>
      <c r="H23" s="110">
        <v>0</v>
      </c>
      <c r="I23" s="110">
        <v>0</v>
      </c>
      <c r="J23" s="52">
        <f t="shared" si="3"/>
        <v>0</v>
      </c>
      <c r="K23" s="169">
        <f t="shared" si="2"/>
        <v>253000</v>
      </c>
      <c r="L23" s="110">
        <v>0</v>
      </c>
      <c r="M23" s="136"/>
    </row>
    <row r="24" spans="1:13" ht="12.75" customHeight="1">
      <c r="A24" s="167" t="s">
        <v>217</v>
      </c>
      <c r="B24" s="98">
        <v>0</v>
      </c>
      <c r="C24" s="98">
        <v>0</v>
      </c>
      <c r="D24" s="98">
        <v>0</v>
      </c>
      <c r="E24" s="98">
        <v>0</v>
      </c>
      <c r="F24" s="52">
        <f t="shared" si="0"/>
        <v>0</v>
      </c>
      <c r="G24" s="52">
        <f t="shared" si="1"/>
        <v>0</v>
      </c>
      <c r="H24" s="98">
        <v>0</v>
      </c>
      <c r="I24" s="98">
        <v>0</v>
      </c>
      <c r="J24" s="52">
        <f t="shared" si="3"/>
        <v>0</v>
      </c>
      <c r="K24" s="169">
        <f t="shared" si="2"/>
        <v>0</v>
      </c>
      <c r="L24" s="110">
        <v>0</v>
      </c>
      <c r="M24" s="136"/>
    </row>
    <row r="25" spans="1:13" ht="12.75" customHeight="1">
      <c r="A25" s="167" t="s">
        <v>211</v>
      </c>
      <c r="B25" s="110">
        <v>165000</v>
      </c>
      <c r="C25" s="110">
        <v>165000</v>
      </c>
      <c r="D25" s="110">
        <v>0</v>
      </c>
      <c r="E25" s="110">
        <v>1050</v>
      </c>
      <c r="F25" s="52">
        <f t="shared" si="0"/>
        <v>8.888836545399357E-05</v>
      </c>
      <c r="G25" s="52">
        <f t="shared" si="1"/>
        <v>163950</v>
      </c>
      <c r="H25" s="110">
        <v>0</v>
      </c>
      <c r="I25" s="110">
        <v>1050</v>
      </c>
      <c r="J25" s="52">
        <f t="shared" si="3"/>
        <v>0</v>
      </c>
      <c r="K25" s="169">
        <f t="shared" si="2"/>
        <v>163950</v>
      </c>
      <c r="L25" s="110">
        <v>0</v>
      </c>
      <c r="M25" s="136"/>
    </row>
    <row r="26" spans="1:13" ht="12.75" customHeight="1">
      <c r="A26" s="166" t="s">
        <v>218</v>
      </c>
      <c r="B26" s="49">
        <f>SUM(B27:B38)</f>
        <v>4247000</v>
      </c>
      <c r="C26" s="49">
        <f>SUM(C27:C38)</f>
        <v>5155131.7</v>
      </c>
      <c r="D26" s="49">
        <f>SUM(D27:D38)</f>
        <v>556264.5599999999</v>
      </c>
      <c r="E26" s="49">
        <f>SUM(E27:E38)</f>
        <v>2368639.9000000004</v>
      </c>
      <c r="F26" s="49">
        <f t="shared" si="0"/>
        <v>0.20051859910486747</v>
      </c>
      <c r="G26" s="49">
        <f t="shared" si="1"/>
        <v>2786491.8</v>
      </c>
      <c r="H26" s="49">
        <f>SUM(H27:H38)</f>
        <v>652897.1900000001</v>
      </c>
      <c r="I26" s="49">
        <f>SUM(I27:I38)</f>
        <v>1856663.39</v>
      </c>
      <c r="J26" s="49">
        <f t="shared" si="3"/>
        <v>0</v>
      </c>
      <c r="K26" s="49">
        <f t="shared" si="2"/>
        <v>3298468.3100000005</v>
      </c>
      <c r="L26" s="49">
        <f>SUM(L27:L38)</f>
        <v>0</v>
      </c>
      <c r="M26" s="136"/>
    </row>
    <row r="27" spans="1:13" ht="12.75" customHeight="1">
      <c r="A27" s="167" t="s">
        <v>219</v>
      </c>
      <c r="B27" s="98">
        <v>0</v>
      </c>
      <c r="C27" s="98">
        <v>0</v>
      </c>
      <c r="D27" s="98">
        <v>0</v>
      </c>
      <c r="E27" s="98">
        <v>0</v>
      </c>
      <c r="F27" s="52">
        <f t="shared" si="0"/>
        <v>0</v>
      </c>
      <c r="G27" s="52">
        <f t="shared" si="1"/>
        <v>0</v>
      </c>
      <c r="H27" s="98">
        <v>0</v>
      </c>
      <c r="I27" s="98">
        <v>0</v>
      </c>
      <c r="J27" s="52">
        <f t="shared" si="3"/>
        <v>0</v>
      </c>
      <c r="K27" s="169">
        <f t="shared" si="2"/>
        <v>0</v>
      </c>
      <c r="L27" s="110">
        <v>0</v>
      </c>
      <c r="M27" s="136"/>
    </row>
    <row r="28" spans="1:13" ht="12.75" customHeight="1">
      <c r="A28" s="167" t="s">
        <v>220</v>
      </c>
      <c r="B28" s="98">
        <v>2872000</v>
      </c>
      <c r="C28" s="98">
        <v>3780131.7</v>
      </c>
      <c r="D28" s="98">
        <v>504439.66</v>
      </c>
      <c r="E28" s="98">
        <v>2199129.2</v>
      </c>
      <c r="F28" s="52">
        <f t="shared" si="0"/>
        <v>0.1861685714382367</v>
      </c>
      <c r="G28" s="52">
        <f t="shared" si="1"/>
        <v>1581002.5</v>
      </c>
      <c r="H28" s="98">
        <v>601072.29</v>
      </c>
      <c r="I28" s="98">
        <v>1687152.69</v>
      </c>
      <c r="J28" s="52">
        <f t="shared" si="3"/>
        <v>0</v>
      </c>
      <c r="K28" s="169">
        <f t="shared" si="2"/>
        <v>2092979.0100000002</v>
      </c>
      <c r="L28" s="110">
        <v>0</v>
      </c>
      <c r="M28" s="136"/>
    </row>
    <row r="29" spans="1:13" ht="12.75" customHeight="1">
      <c r="A29" s="167" t="s">
        <v>221</v>
      </c>
      <c r="B29" s="98">
        <v>440000</v>
      </c>
      <c r="C29" s="98">
        <v>440000</v>
      </c>
      <c r="D29" s="98">
        <v>51824.9</v>
      </c>
      <c r="E29" s="98">
        <v>169510.7</v>
      </c>
      <c r="F29" s="52">
        <f t="shared" si="0"/>
        <v>0.014350027666630733</v>
      </c>
      <c r="G29" s="52">
        <f t="shared" si="1"/>
        <v>270489.3</v>
      </c>
      <c r="H29" s="98">
        <v>51824.9</v>
      </c>
      <c r="I29" s="98">
        <v>169510.7</v>
      </c>
      <c r="J29" s="52">
        <f t="shared" si="3"/>
        <v>0</v>
      </c>
      <c r="K29" s="169">
        <f t="shared" si="2"/>
        <v>270489.3</v>
      </c>
      <c r="L29" s="110">
        <v>0</v>
      </c>
      <c r="M29" s="136"/>
    </row>
    <row r="30" spans="1:13" ht="12.75" customHeight="1">
      <c r="A30" s="167" t="s">
        <v>222</v>
      </c>
      <c r="B30" s="98">
        <v>330000</v>
      </c>
      <c r="C30" s="98">
        <v>330000</v>
      </c>
      <c r="D30" s="98">
        <v>0</v>
      </c>
      <c r="E30" s="98">
        <v>0</v>
      </c>
      <c r="F30" s="52">
        <f t="shared" si="0"/>
        <v>0</v>
      </c>
      <c r="G30" s="52">
        <f t="shared" si="1"/>
        <v>330000</v>
      </c>
      <c r="H30" s="98">
        <v>0</v>
      </c>
      <c r="I30" s="98">
        <v>0</v>
      </c>
      <c r="J30" s="52">
        <f t="shared" si="3"/>
        <v>0</v>
      </c>
      <c r="K30" s="169">
        <f t="shared" si="2"/>
        <v>330000</v>
      </c>
      <c r="L30" s="110">
        <v>0</v>
      </c>
      <c r="M30" s="136"/>
    </row>
    <row r="31" spans="1:13" ht="12.75" customHeight="1">
      <c r="A31" s="167" t="s">
        <v>223</v>
      </c>
      <c r="B31" s="98">
        <v>0</v>
      </c>
      <c r="C31" s="98">
        <v>0</v>
      </c>
      <c r="D31" s="98">
        <v>0</v>
      </c>
      <c r="E31" s="98">
        <v>0</v>
      </c>
      <c r="F31" s="52">
        <f t="shared" si="0"/>
        <v>0</v>
      </c>
      <c r="G31" s="52">
        <f t="shared" si="1"/>
        <v>0</v>
      </c>
      <c r="H31" s="98">
        <v>0</v>
      </c>
      <c r="I31" s="98">
        <v>0</v>
      </c>
      <c r="J31" s="52">
        <f t="shared" si="3"/>
        <v>0</v>
      </c>
      <c r="K31" s="169">
        <f t="shared" si="2"/>
        <v>0</v>
      </c>
      <c r="L31" s="110">
        <v>0</v>
      </c>
      <c r="M31" s="136"/>
    </row>
    <row r="32" spans="1:13" ht="12.75" customHeight="1">
      <c r="A32" s="167" t="s">
        <v>224</v>
      </c>
      <c r="B32" s="98">
        <v>0</v>
      </c>
      <c r="C32" s="98">
        <v>0</v>
      </c>
      <c r="D32" s="98">
        <v>0</v>
      </c>
      <c r="E32" s="98">
        <v>0</v>
      </c>
      <c r="F32" s="52">
        <f t="shared" si="0"/>
        <v>0</v>
      </c>
      <c r="G32" s="52">
        <f t="shared" si="1"/>
        <v>0</v>
      </c>
      <c r="H32" s="98">
        <v>0</v>
      </c>
      <c r="I32" s="98">
        <v>0</v>
      </c>
      <c r="J32" s="52">
        <f t="shared" si="3"/>
        <v>0</v>
      </c>
      <c r="K32" s="169">
        <f t="shared" si="2"/>
        <v>0</v>
      </c>
      <c r="L32" s="110">
        <v>0</v>
      </c>
      <c r="M32" s="136"/>
    </row>
    <row r="33" spans="1:13" ht="12.75" customHeight="1">
      <c r="A33" s="167" t="s">
        <v>225</v>
      </c>
      <c r="B33" s="98">
        <v>0</v>
      </c>
      <c r="C33" s="98">
        <v>0</v>
      </c>
      <c r="D33" s="98">
        <v>0</v>
      </c>
      <c r="E33" s="98">
        <v>0</v>
      </c>
      <c r="F33" s="52">
        <f t="shared" si="0"/>
        <v>0</v>
      </c>
      <c r="G33" s="52">
        <f t="shared" si="1"/>
        <v>0</v>
      </c>
      <c r="H33" s="98">
        <v>0</v>
      </c>
      <c r="I33" s="98">
        <v>0</v>
      </c>
      <c r="J33" s="52">
        <f t="shared" si="3"/>
        <v>0</v>
      </c>
      <c r="K33" s="169">
        <f t="shared" si="2"/>
        <v>0</v>
      </c>
      <c r="L33" s="110">
        <v>0</v>
      </c>
      <c r="M33" s="136"/>
    </row>
    <row r="34" spans="1:13" ht="12.75" customHeight="1">
      <c r="A34" s="167" t="s">
        <v>226</v>
      </c>
      <c r="B34" s="98">
        <v>0</v>
      </c>
      <c r="C34" s="98">
        <v>0</v>
      </c>
      <c r="D34" s="98">
        <v>0</v>
      </c>
      <c r="E34" s="98">
        <v>0</v>
      </c>
      <c r="F34" s="52">
        <f t="shared" si="0"/>
        <v>0</v>
      </c>
      <c r="G34" s="52">
        <f t="shared" si="1"/>
        <v>0</v>
      </c>
      <c r="H34" s="98">
        <v>0</v>
      </c>
      <c r="I34" s="98">
        <v>0</v>
      </c>
      <c r="J34" s="52">
        <f t="shared" si="3"/>
        <v>0</v>
      </c>
      <c r="K34" s="169">
        <f t="shared" si="2"/>
        <v>0</v>
      </c>
      <c r="L34" s="110">
        <v>0</v>
      </c>
      <c r="M34" s="136"/>
    </row>
    <row r="35" spans="1:13" ht="12.75" customHeight="1">
      <c r="A35" s="167" t="s">
        <v>227</v>
      </c>
      <c r="B35" s="98">
        <v>0</v>
      </c>
      <c r="C35" s="98">
        <v>0</v>
      </c>
      <c r="D35" s="98">
        <v>0</v>
      </c>
      <c r="E35" s="98">
        <v>0</v>
      </c>
      <c r="F35" s="52">
        <f t="shared" si="0"/>
        <v>0</v>
      </c>
      <c r="G35" s="52">
        <f t="shared" si="1"/>
        <v>0</v>
      </c>
      <c r="H35" s="98">
        <v>0</v>
      </c>
      <c r="I35" s="98">
        <v>0</v>
      </c>
      <c r="J35" s="52">
        <f t="shared" si="3"/>
        <v>0</v>
      </c>
      <c r="K35" s="169">
        <f t="shared" si="2"/>
        <v>0</v>
      </c>
      <c r="L35" s="110">
        <v>0</v>
      </c>
      <c r="M35" s="136"/>
    </row>
    <row r="36" spans="1:13" ht="12.75" customHeight="1">
      <c r="A36" s="167" t="s">
        <v>228</v>
      </c>
      <c r="B36" s="98">
        <v>0</v>
      </c>
      <c r="C36" s="98">
        <v>0</v>
      </c>
      <c r="D36" s="98">
        <v>0</v>
      </c>
      <c r="E36" s="98">
        <v>0</v>
      </c>
      <c r="F36" s="52">
        <f t="shared" si="0"/>
        <v>0</v>
      </c>
      <c r="G36" s="52">
        <f t="shared" si="1"/>
        <v>0</v>
      </c>
      <c r="H36" s="98">
        <v>0</v>
      </c>
      <c r="I36" s="98">
        <v>0</v>
      </c>
      <c r="J36" s="52">
        <f t="shared" si="3"/>
        <v>0</v>
      </c>
      <c r="K36" s="169">
        <f t="shared" si="2"/>
        <v>0</v>
      </c>
      <c r="L36" s="110">
        <v>0</v>
      </c>
      <c r="M36" s="136"/>
    </row>
    <row r="37" spans="1:13" ht="12.75" customHeight="1">
      <c r="A37" s="167" t="s">
        <v>229</v>
      </c>
      <c r="B37" s="98">
        <v>0</v>
      </c>
      <c r="C37" s="98">
        <v>0</v>
      </c>
      <c r="D37" s="98">
        <v>0</v>
      </c>
      <c r="E37" s="98">
        <v>0</v>
      </c>
      <c r="F37" s="52">
        <f t="shared" si="0"/>
        <v>0</v>
      </c>
      <c r="G37" s="52">
        <f t="shared" si="1"/>
        <v>0</v>
      </c>
      <c r="H37" s="98">
        <v>0</v>
      </c>
      <c r="I37" s="98">
        <v>0</v>
      </c>
      <c r="J37" s="52">
        <f t="shared" si="3"/>
        <v>0</v>
      </c>
      <c r="K37" s="169">
        <f t="shared" si="2"/>
        <v>0</v>
      </c>
      <c r="L37" s="110">
        <v>0</v>
      </c>
      <c r="M37" s="136"/>
    </row>
    <row r="38" spans="1:13" ht="12.75" customHeight="1">
      <c r="A38" s="167" t="s">
        <v>211</v>
      </c>
      <c r="B38" s="98">
        <v>605000</v>
      </c>
      <c r="C38" s="98">
        <v>605000</v>
      </c>
      <c r="D38" s="98">
        <v>0</v>
      </c>
      <c r="E38" s="98">
        <v>0</v>
      </c>
      <c r="F38" s="52">
        <f t="shared" si="0"/>
        <v>0</v>
      </c>
      <c r="G38" s="52">
        <f t="shared" si="1"/>
        <v>605000</v>
      </c>
      <c r="H38" s="98">
        <v>0</v>
      </c>
      <c r="I38" s="98">
        <v>0</v>
      </c>
      <c r="J38" s="52">
        <f t="shared" si="3"/>
        <v>0</v>
      </c>
      <c r="K38" s="169">
        <f t="shared" si="2"/>
        <v>605000</v>
      </c>
      <c r="L38" s="110">
        <v>0</v>
      </c>
      <c r="M38" s="136"/>
    </row>
    <row r="39" spans="1:13" ht="12.75" customHeight="1">
      <c r="A39" s="166" t="s">
        <v>230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6"/>
    </row>
    <row r="40" spans="1:13" ht="12.75" customHeight="1">
      <c r="A40" s="167" t="s">
        <v>231</v>
      </c>
      <c r="B40" s="110">
        <v>0</v>
      </c>
      <c r="C40" s="110">
        <v>0</v>
      </c>
      <c r="D40" s="110">
        <v>0</v>
      </c>
      <c r="E40" s="110">
        <v>0</v>
      </c>
      <c r="F40" s="52">
        <f t="shared" si="0"/>
        <v>0</v>
      </c>
      <c r="G40" s="52">
        <f t="shared" si="1"/>
        <v>0</v>
      </c>
      <c r="H40" s="110">
        <v>0</v>
      </c>
      <c r="I40" s="110">
        <v>0</v>
      </c>
      <c r="J40" s="52">
        <f t="shared" si="3"/>
        <v>0</v>
      </c>
      <c r="K40" s="169">
        <f t="shared" si="2"/>
        <v>0</v>
      </c>
      <c r="L40" s="110">
        <v>0</v>
      </c>
      <c r="M40" s="136"/>
    </row>
    <row r="41" spans="1:13" ht="12.75" customHeight="1">
      <c r="A41" s="167" t="s">
        <v>232</v>
      </c>
      <c r="B41" s="110">
        <v>0</v>
      </c>
      <c r="C41" s="110">
        <v>0</v>
      </c>
      <c r="D41" s="110">
        <v>0</v>
      </c>
      <c r="E41" s="110">
        <v>0</v>
      </c>
      <c r="F41" s="52">
        <f t="shared" si="0"/>
        <v>0</v>
      </c>
      <c r="G41" s="52">
        <f t="shared" si="1"/>
        <v>0</v>
      </c>
      <c r="H41" s="110">
        <v>0</v>
      </c>
      <c r="I41" s="110">
        <v>0</v>
      </c>
      <c r="J41" s="52">
        <f t="shared" si="3"/>
        <v>0</v>
      </c>
      <c r="K41" s="169">
        <f t="shared" si="2"/>
        <v>0</v>
      </c>
      <c r="L41" s="110">
        <v>0</v>
      </c>
      <c r="M41" s="136"/>
    </row>
    <row r="42" spans="1:13" ht="12.75" customHeight="1">
      <c r="A42" s="167" t="s">
        <v>233</v>
      </c>
      <c r="B42" s="110">
        <v>0</v>
      </c>
      <c r="C42" s="110">
        <v>0</v>
      </c>
      <c r="D42" s="110">
        <v>0</v>
      </c>
      <c r="E42" s="110">
        <v>0</v>
      </c>
      <c r="F42" s="52">
        <f t="shared" si="0"/>
        <v>0</v>
      </c>
      <c r="G42" s="52">
        <f t="shared" si="1"/>
        <v>0</v>
      </c>
      <c r="H42" s="110">
        <v>0</v>
      </c>
      <c r="I42" s="110">
        <v>0</v>
      </c>
      <c r="J42" s="52">
        <f t="shared" si="3"/>
        <v>0</v>
      </c>
      <c r="K42" s="169">
        <f t="shared" si="2"/>
        <v>0</v>
      </c>
      <c r="L42" s="110">
        <v>0</v>
      </c>
      <c r="M42" s="136"/>
    </row>
    <row r="43" spans="1:13" ht="12.75" customHeight="1">
      <c r="A43" s="167" t="s">
        <v>211</v>
      </c>
      <c r="B43" s="110">
        <v>0</v>
      </c>
      <c r="C43" s="110">
        <v>0</v>
      </c>
      <c r="D43" s="110">
        <v>0</v>
      </c>
      <c r="E43" s="110">
        <v>0</v>
      </c>
      <c r="F43" s="52">
        <f t="shared" si="0"/>
        <v>0</v>
      </c>
      <c r="G43" s="52">
        <f t="shared" si="1"/>
        <v>0</v>
      </c>
      <c r="H43" s="110">
        <v>0</v>
      </c>
      <c r="I43" s="110">
        <v>0</v>
      </c>
      <c r="J43" s="52">
        <f t="shared" si="3"/>
        <v>0</v>
      </c>
      <c r="K43" s="169">
        <f t="shared" si="2"/>
        <v>0</v>
      </c>
      <c r="L43" s="110">
        <v>0</v>
      </c>
      <c r="M43" s="136"/>
    </row>
    <row r="44" spans="1:13" ht="12.75" customHeight="1">
      <c r="A44" s="166" t="s">
        <v>234</v>
      </c>
      <c r="B44" s="49">
        <f>SUM(B45:B48)</f>
        <v>99000</v>
      </c>
      <c r="C44" s="49">
        <f>SUM(C45:C48)</f>
        <v>99000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99000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99000</v>
      </c>
      <c r="L44" s="49">
        <f>SUM(L45:L48)</f>
        <v>0</v>
      </c>
      <c r="M44" s="136"/>
    </row>
    <row r="45" spans="1:13" ht="12.75" customHeight="1">
      <c r="A45" s="167" t="s">
        <v>235</v>
      </c>
      <c r="B45" s="98">
        <v>99000</v>
      </c>
      <c r="C45" s="98">
        <v>99000</v>
      </c>
      <c r="D45" s="98">
        <v>0</v>
      </c>
      <c r="E45" s="98">
        <v>0</v>
      </c>
      <c r="F45" s="52">
        <f t="shared" si="0"/>
        <v>0</v>
      </c>
      <c r="G45" s="52">
        <f t="shared" si="1"/>
        <v>99000</v>
      </c>
      <c r="H45" s="98">
        <v>0</v>
      </c>
      <c r="I45" s="98">
        <v>0</v>
      </c>
      <c r="J45" s="52">
        <f t="shared" si="3"/>
        <v>0</v>
      </c>
      <c r="K45" s="169">
        <f t="shared" si="2"/>
        <v>99000</v>
      </c>
      <c r="L45" s="110">
        <v>0</v>
      </c>
      <c r="M45" s="136"/>
    </row>
    <row r="46" spans="1:13" ht="12.75" customHeight="1">
      <c r="A46" s="167" t="s">
        <v>236</v>
      </c>
      <c r="B46" s="110">
        <v>0</v>
      </c>
      <c r="C46" s="110">
        <v>0</v>
      </c>
      <c r="D46" s="110">
        <v>0</v>
      </c>
      <c r="E46" s="110">
        <v>0</v>
      </c>
      <c r="F46" s="52">
        <f t="shared" si="0"/>
        <v>0</v>
      </c>
      <c r="G46" s="52">
        <f t="shared" si="1"/>
        <v>0</v>
      </c>
      <c r="H46" s="110">
        <v>0</v>
      </c>
      <c r="I46" s="110">
        <v>0</v>
      </c>
      <c r="J46" s="52">
        <f t="shared" si="3"/>
        <v>0</v>
      </c>
      <c r="K46" s="169">
        <f t="shared" si="2"/>
        <v>0</v>
      </c>
      <c r="L46" s="110">
        <v>0</v>
      </c>
      <c r="M46" s="136"/>
    </row>
    <row r="47" spans="1:13" ht="12.75" customHeight="1">
      <c r="A47" s="167" t="s">
        <v>237</v>
      </c>
      <c r="B47" s="110">
        <v>0</v>
      </c>
      <c r="C47" s="110">
        <v>0</v>
      </c>
      <c r="D47" s="110">
        <v>0</v>
      </c>
      <c r="E47" s="110">
        <v>0</v>
      </c>
      <c r="F47" s="52">
        <f t="shared" si="0"/>
        <v>0</v>
      </c>
      <c r="G47" s="52">
        <f t="shared" si="1"/>
        <v>0</v>
      </c>
      <c r="H47" s="110">
        <v>0</v>
      </c>
      <c r="I47" s="110">
        <v>0</v>
      </c>
      <c r="J47" s="52">
        <f t="shared" si="3"/>
        <v>0</v>
      </c>
      <c r="K47" s="169">
        <f t="shared" si="2"/>
        <v>0</v>
      </c>
      <c r="L47" s="110">
        <v>0</v>
      </c>
      <c r="M47" s="136"/>
    </row>
    <row r="48" spans="1:13" ht="12.75" customHeight="1">
      <c r="A48" s="167" t="s">
        <v>211</v>
      </c>
      <c r="B48" s="110">
        <v>0</v>
      </c>
      <c r="C48" s="110">
        <v>0</v>
      </c>
      <c r="D48" s="110">
        <v>0</v>
      </c>
      <c r="E48" s="110">
        <v>0</v>
      </c>
      <c r="F48" s="52">
        <f t="shared" si="0"/>
        <v>0</v>
      </c>
      <c r="G48" s="52">
        <f t="shared" si="1"/>
        <v>0</v>
      </c>
      <c r="H48" s="110">
        <v>0</v>
      </c>
      <c r="I48" s="110">
        <v>0</v>
      </c>
      <c r="J48" s="52">
        <f t="shared" si="3"/>
        <v>0</v>
      </c>
      <c r="K48" s="169">
        <f t="shared" si="2"/>
        <v>0</v>
      </c>
      <c r="L48" s="110">
        <v>0</v>
      </c>
      <c r="M48" s="136"/>
    </row>
    <row r="49" spans="1:13" ht="12.75" customHeight="1">
      <c r="A49" s="166" t="s">
        <v>238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6"/>
    </row>
    <row r="50" spans="1:13" ht="12.75" customHeight="1">
      <c r="A50" s="167" t="s">
        <v>239</v>
      </c>
      <c r="B50" s="110">
        <v>0</v>
      </c>
      <c r="C50" s="110">
        <v>0</v>
      </c>
      <c r="D50" s="110">
        <v>0</v>
      </c>
      <c r="E50" s="110">
        <v>0</v>
      </c>
      <c r="F50" s="52">
        <f t="shared" si="0"/>
        <v>0</v>
      </c>
      <c r="G50" s="52">
        <f t="shared" si="1"/>
        <v>0</v>
      </c>
      <c r="H50" s="110">
        <v>0</v>
      </c>
      <c r="I50" s="110">
        <v>0</v>
      </c>
      <c r="J50" s="52">
        <f t="shared" si="3"/>
        <v>0</v>
      </c>
      <c r="K50" s="169">
        <f t="shared" si="2"/>
        <v>0</v>
      </c>
      <c r="L50" s="110">
        <v>0</v>
      </c>
      <c r="M50" s="136"/>
    </row>
    <row r="51" spans="1:13" ht="12.75" customHeight="1">
      <c r="A51" s="167" t="s">
        <v>240</v>
      </c>
      <c r="B51" s="110">
        <v>0</v>
      </c>
      <c r="C51" s="110">
        <v>0</v>
      </c>
      <c r="D51" s="110">
        <v>0</v>
      </c>
      <c r="E51" s="110">
        <v>0</v>
      </c>
      <c r="F51" s="52">
        <f t="shared" si="0"/>
        <v>0</v>
      </c>
      <c r="G51" s="52">
        <f t="shared" si="1"/>
        <v>0</v>
      </c>
      <c r="H51" s="110">
        <v>0</v>
      </c>
      <c r="I51" s="110">
        <v>0</v>
      </c>
      <c r="J51" s="52">
        <f t="shared" si="3"/>
        <v>0</v>
      </c>
      <c r="K51" s="169">
        <f t="shared" si="2"/>
        <v>0</v>
      </c>
      <c r="L51" s="110">
        <v>0</v>
      </c>
      <c r="M51" s="136"/>
    </row>
    <row r="52" spans="1:13" ht="12.75" customHeight="1">
      <c r="A52" s="167" t="s">
        <v>211</v>
      </c>
      <c r="B52" s="110">
        <v>0</v>
      </c>
      <c r="C52" s="110">
        <v>0</v>
      </c>
      <c r="D52" s="110">
        <v>0</v>
      </c>
      <c r="E52" s="110">
        <v>0</v>
      </c>
      <c r="F52" s="52">
        <f t="shared" si="0"/>
        <v>0</v>
      </c>
      <c r="G52" s="52">
        <f t="shared" si="1"/>
        <v>0</v>
      </c>
      <c r="H52" s="110">
        <v>0</v>
      </c>
      <c r="I52" s="110">
        <v>0</v>
      </c>
      <c r="J52" s="52">
        <f t="shared" si="3"/>
        <v>0</v>
      </c>
      <c r="K52" s="169">
        <f t="shared" si="2"/>
        <v>0</v>
      </c>
      <c r="L52" s="110">
        <v>0</v>
      </c>
      <c r="M52" s="136"/>
    </row>
    <row r="53" spans="1:13" ht="12.75" customHeight="1">
      <c r="A53" s="166" t="s">
        <v>241</v>
      </c>
      <c r="B53" s="49">
        <f>SUM(B54:B58)</f>
        <v>4677000</v>
      </c>
      <c r="C53" s="49">
        <f>SUM(C54:C58)</f>
        <v>4677000</v>
      </c>
      <c r="D53" s="49">
        <f>SUM(D54:D58)</f>
        <v>465479.32999999996</v>
      </c>
      <c r="E53" s="49">
        <f>SUM(E54:E58)</f>
        <v>1042529.4199999999</v>
      </c>
      <c r="F53" s="49">
        <f t="shared" si="0"/>
        <v>0.08825593912523805</v>
      </c>
      <c r="G53" s="49">
        <f t="shared" si="1"/>
        <v>3634470.58</v>
      </c>
      <c r="H53" s="49">
        <f>SUM(H54:H58)</f>
        <v>228497.22999999998</v>
      </c>
      <c r="I53" s="49">
        <f>SUM(I54:I58)</f>
        <v>544331.35</v>
      </c>
      <c r="J53" s="49">
        <f t="shared" si="3"/>
        <v>0</v>
      </c>
      <c r="K53" s="49">
        <f t="shared" si="2"/>
        <v>4132668.65</v>
      </c>
      <c r="L53" s="49">
        <f>SUM(L54:L58)</f>
        <v>0</v>
      </c>
      <c r="M53" s="136"/>
    </row>
    <row r="54" spans="1:13" ht="12.75" customHeight="1">
      <c r="A54" s="167" t="s">
        <v>242</v>
      </c>
      <c r="B54" s="110">
        <v>77000</v>
      </c>
      <c r="C54" s="110">
        <v>77000</v>
      </c>
      <c r="D54" s="110">
        <v>0</v>
      </c>
      <c r="E54" s="110">
        <v>0</v>
      </c>
      <c r="F54" s="52">
        <f t="shared" si="0"/>
        <v>0</v>
      </c>
      <c r="G54" s="52">
        <f t="shared" si="1"/>
        <v>77000</v>
      </c>
      <c r="H54" s="110">
        <v>0</v>
      </c>
      <c r="I54" s="110">
        <v>0</v>
      </c>
      <c r="J54" s="52">
        <f t="shared" si="3"/>
        <v>0</v>
      </c>
      <c r="K54" s="169">
        <f t="shared" si="2"/>
        <v>77000</v>
      </c>
      <c r="L54" s="110">
        <v>0</v>
      </c>
      <c r="M54" s="136"/>
    </row>
    <row r="55" spans="1:13" ht="12.75" customHeight="1">
      <c r="A55" s="167" t="s">
        <v>243</v>
      </c>
      <c r="B55" s="110">
        <v>0</v>
      </c>
      <c r="C55" s="110">
        <v>0</v>
      </c>
      <c r="D55" s="110">
        <v>0</v>
      </c>
      <c r="E55" s="110">
        <v>0</v>
      </c>
      <c r="F55" s="52">
        <f t="shared" si="0"/>
        <v>0</v>
      </c>
      <c r="G55" s="52">
        <f t="shared" si="1"/>
        <v>0</v>
      </c>
      <c r="H55" s="110">
        <v>0</v>
      </c>
      <c r="I55" s="110">
        <v>0</v>
      </c>
      <c r="J55" s="52">
        <f t="shared" si="3"/>
        <v>0</v>
      </c>
      <c r="K55" s="169">
        <f t="shared" si="2"/>
        <v>0</v>
      </c>
      <c r="L55" s="110">
        <v>0</v>
      </c>
      <c r="M55" s="136"/>
    </row>
    <row r="56" spans="1:13" ht="12.75" customHeight="1">
      <c r="A56" s="167" t="s">
        <v>244</v>
      </c>
      <c r="B56" s="98">
        <v>506000</v>
      </c>
      <c r="C56" s="98">
        <v>478046.96</v>
      </c>
      <c r="D56" s="98">
        <v>15395.84</v>
      </c>
      <c r="E56" s="98">
        <v>32984.58</v>
      </c>
      <c r="F56" s="52">
        <f t="shared" si="0"/>
        <v>0.0027923289537014166</v>
      </c>
      <c r="G56" s="52">
        <f t="shared" si="1"/>
        <v>445062.38</v>
      </c>
      <c r="H56" s="98">
        <v>15395.84</v>
      </c>
      <c r="I56" s="98">
        <v>32984.58</v>
      </c>
      <c r="J56" s="52">
        <f t="shared" si="3"/>
        <v>0</v>
      </c>
      <c r="K56" s="169">
        <f t="shared" si="2"/>
        <v>445062.38</v>
      </c>
      <c r="L56" s="110">
        <v>0</v>
      </c>
      <c r="M56" s="136"/>
    </row>
    <row r="57" spans="1:13" ht="12.75" customHeight="1">
      <c r="A57" s="167" t="s">
        <v>245</v>
      </c>
      <c r="B57" s="98">
        <v>2620000</v>
      </c>
      <c r="C57" s="98">
        <v>2472699.12</v>
      </c>
      <c r="D57" s="98">
        <v>151177.02</v>
      </c>
      <c r="E57" s="98">
        <v>310120.77</v>
      </c>
      <c r="F57" s="52">
        <f t="shared" si="0"/>
        <v>0.026253455560603704</v>
      </c>
      <c r="G57" s="52">
        <f t="shared" si="1"/>
        <v>2162578.35</v>
      </c>
      <c r="H57" s="98">
        <v>54893.2</v>
      </c>
      <c r="I57" s="98">
        <v>185905.9</v>
      </c>
      <c r="J57" s="52">
        <f t="shared" si="3"/>
        <v>0</v>
      </c>
      <c r="K57" s="169">
        <f t="shared" si="2"/>
        <v>2286793.22</v>
      </c>
      <c r="L57" s="110">
        <v>0</v>
      </c>
      <c r="M57" s="136"/>
    </row>
    <row r="58" spans="1:13" ht="12.75" customHeight="1">
      <c r="A58" s="167" t="s">
        <v>211</v>
      </c>
      <c r="B58" s="98">
        <v>1474000</v>
      </c>
      <c r="C58" s="98">
        <v>1649253.92</v>
      </c>
      <c r="D58" s="98">
        <v>298906.47</v>
      </c>
      <c r="E58" s="98">
        <v>699424.07</v>
      </c>
      <c r="F58" s="52">
        <f t="shared" si="0"/>
        <v>0.05921015461093294</v>
      </c>
      <c r="G58" s="52">
        <f t="shared" si="1"/>
        <v>949829.85</v>
      </c>
      <c r="H58" s="98">
        <v>158208.19</v>
      </c>
      <c r="I58" s="98">
        <v>325440.87</v>
      </c>
      <c r="J58" s="52">
        <f t="shared" si="3"/>
        <v>0</v>
      </c>
      <c r="K58" s="169">
        <f t="shared" si="2"/>
        <v>1323813.0499999998</v>
      </c>
      <c r="L58" s="110">
        <v>0</v>
      </c>
      <c r="M58" s="136"/>
    </row>
    <row r="59" spans="1:13" ht="12.75" customHeight="1">
      <c r="A59" s="166" t="s">
        <v>246</v>
      </c>
      <c r="B59" s="49">
        <f>SUM(B60:B64)</f>
        <v>330000</v>
      </c>
      <c r="C59" s="49">
        <f>SUM(C60:C64)</f>
        <v>377882.48</v>
      </c>
      <c r="D59" s="49">
        <f>SUM(D60:D64)</f>
        <v>24891.33</v>
      </c>
      <c r="E59" s="49">
        <f>SUM(E60:E64)</f>
        <v>103266.19</v>
      </c>
      <c r="F59" s="49">
        <f t="shared" si="0"/>
        <v>0.008742059843582416</v>
      </c>
      <c r="G59" s="49">
        <f t="shared" si="1"/>
        <v>274616.29</v>
      </c>
      <c r="H59" s="49">
        <f>SUM(H60:H64)</f>
        <v>24891.33</v>
      </c>
      <c r="I59" s="49">
        <f>SUM(I60:I64)</f>
        <v>103266.19</v>
      </c>
      <c r="J59" s="49">
        <f t="shared" si="3"/>
        <v>0</v>
      </c>
      <c r="K59" s="49">
        <f t="shared" si="2"/>
        <v>274616.29</v>
      </c>
      <c r="L59" s="49">
        <f>SUM(L60:L64)</f>
        <v>0</v>
      </c>
      <c r="M59" s="136"/>
    </row>
    <row r="60" spans="1:13" ht="12.75" customHeight="1">
      <c r="A60" s="167" t="s">
        <v>247</v>
      </c>
      <c r="B60" s="110">
        <v>330000</v>
      </c>
      <c r="C60" s="110">
        <v>377882.48</v>
      </c>
      <c r="D60" s="110">
        <v>24891.33</v>
      </c>
      <c r="E60" s="110">
        <v>103266.19</v>
      </c>
      <c r="F60" s="52">
        <f t="shared" si="0"/>
        <v>0.008742059843582416</v>
      </c>
      <c r="G60" s="52">
        <f t="shared" si="1"/>
        <v>274616.29</v>
      </c>
      <c r="H60" s="110">
        <v>24891.33</v>
      </c>
      <c r="I60" s="110">
        <v>103266.19</v>
      </c>
      <c r="J60" s="52">
        <f t="shared" si="3"/>
        <v>0</v>
      </c>
      <c r="K60" s="169">
        <f t="shared" si="2"/>
        <v>274616.29</v>
      </c>
      <c r="L60" s="110">
        <v>0</v>
      </c>
      <c r="M60" s="136"/>
    </row>
    <row r="61" spans="1:13" ht="12.75" customHeight="1">
      <c r="A61" s="167" t="s">
        <v>248</v>
      </c>
      <c r="B61" s="98">
        <v>0</v>
      </c>
      <c r="C61" s="98">
        <v>0</v>
      </c>
      <c r="D61" s="98">
        <v>0</v>
      </c>
      <c r="E61" s="98">
        <v>0</v>
      </c>
      <c r="F61" s="52">
        <f t="shared" si="0"/>
        <v>0</v>
      </c>
      <c r="G61" s="52">
        <f t="shared" si="1"/>
        <v>0</v>
      </c>
      <c r="H61" s="98">
        <v>0</v>
      </c>
      <c r="I61" s="98">
        <v>0</v>
      </c>
      <c r="J61" s="52">
        <f t="shared" si="3"/>
        <v>0</v>
      </c>
      <c r="K61" s="169">
        <f t="shared" si="2"/>
        <v>0</v>
      </c>
      <c r="L61" s="110">
        <v>0</v>
      </c>
      <c r="M61" s="136"/>
    </row>
    <row r="62" spans="1:13" ht="12.75" customHeight="1">
      <c r="A62" s="167" t="s">
        <v>249</v>
      </c>
      <c r="B62" s="98">
        <v>0</v>
      </c>
      <c r="C62" s="98">
        <v>0</v>
      </c>
      <c r="D62" s="98">
        <v>0</v>
      </c>
      <c r="E62" s="98">
        <v>0</v>
      </c>
      <c r="F62" s="52">
        <f t="shared" si="0"/>
        <v>0</v>
      </c>
      <c r="G62" s="52">
        <f t="shared" si="1"/>
        <v>0</v>
      </c>
      <c r="H62" s="98">
        <v>0</v>
      </c>
      <c r="I62" s="98">
        <v>0</v>
      </c>
      <c r="J62" s="52">
        <f t="shared" si="3"/>
        <v>0</v>
      </c>
      <c r="K62" s="169">
        <f t="shared" si="2"/>
        <v>0</v>
      </c>
      <c r="L62" s="110">
        <v>0</v>
      </c>
      <c r="M62" s="136"/>
    </row>
    <row r="63" spans="1:13" ht="12.75" customHeight="1">
      <c r="A63" s="167" t="s">
        <v>250</v>
      </c>
      <c r="B63" s="98">
        <v>0</v>
      </c>
      <c r="C63" s="98">
        <v>0</v>
      </c>
      <c r="D63" s="98">
        <v>0</v>
      </c>
      <c r="E63" s="98">
        <v>0</v>
      </c>
      <c r="F63" s="52">
        <f t="shared" si="0"/>
        <v>0</v>
      </c>
      <c r="G63" s="52">
        <f t="shared" si="1"/>
        <v>0</v>
      </c>
      <c r="H63" s="98">
        <v>0</v>
      </c>
      <c r="I63" s="98">
        <v>0</v>
      </c>
      <c r="J63" s="52">
        <f t="shared" si="3"/>
        <v>0</v>
      </c>
      <c r="K63" s="169">
        <f t="shared" si="2"/>
        <v>0</v>
      </c>
      <c r="L63" s="110">
        <v>0</v>
      </c>
      <c r="M63" s="136"/>
    </row>
    <row r="64" spans="1:13" ht="12.75" customHeight="1">
      <c r="A64" s="167" t="s">
        <v>211</v>
      </c>
      <c r="B64" s="98">
        <v>0</v>
      </c>
      <c r="C64" s="98">
        <v>0</v>
      </c>
      <c r="D64" s="98">
        <v>0</v>
      </c>
      <c r="E64" s="98">
        <v>0</v>
      </c>
      <c r="F64" s="52">
        <f t="shared" si="0"/>
        <v>0</v>
      </c>
      <c r="G64" s="52">
        <f t="shared" si="1"/>
        <v>0</v>
      </c>
      <c r="H64" s="98">
        <v>0</v>
      </c>
      <c r="I64" s="98">
        <v>0</v>
      </c>
      <c r="J64" s="52">
        <f t="shared" si="3"/>
        <v>0</v>
      </c>
      <c r="K64" s="169">
        <f t="shared" si="2"/>
        <v>0</v>
      </c>
      <c r="L64" s="110">
        <v>0</v>
      </c>
      <c r="M64" s="136"/>
    </row>
    <row r="65" spans="1:13" ht="12.75" customHeight="1">
      <c r="A65" s="166" t="s">
        <v>251</v>
      </c>
      <c r="B65" s="49">
        <f>SUM(B66:B72)</f>
        <v>5500000</v>
      </c>
      <c r="C65" s="49">
        <f>SUM(C66:C72)</f>
        <v>5500000</v>
      </c>
      <c r="D65" s="49">
        <f>SUM(D66:D72)</f>
        <v>1098840.29</v>
      </c>
      <c r="E65" s="49">
        <f>SUM(E66:E72)</f>
        <v>2739694.6799999997</v>
      </c>
      <c r="F65" s="49">
        <f t="shared" si="0"/>
        <v>0.2319304589982876</v>
      </c>
      <c r="G65" s="49">
        <f t="shared" si="1"/>
        <v>2760305.3200000003</v>
      </c>
      <c r="H65" s="49">
        <f>SUM(H66:H72)</f>
        <v>837759.1799999999</v>
      </c>
      <c r="I65" s="49">
        <f>SUM(I66:I72)</f>
        <v>2122612.58</v>
      </c>
      <c r="J65" s="49">
        <f t="shared" si="3"/>
        <v>0</v>
      </c>
      <c r="K65" s="49">
        <f t="shared" si="2"/>
        <v>3377387.42</v>
      </c>
      <c r="L65" s="49">
        <f>SUM(L66:L72)</f>
        <v>0</v>
      </c>
      <c r="M65" s="136"/>
    </row>
    <row r="66" spans="1:13" ht="12.75" customHeight="1">
      <c r="A66" s="167" t="s">
        <v>252</v>
      </c>
      <c r="B66" s="98">
        <v>1774000</v>
      </c>
      <c r="C66" s="98">
        <v>1664415.94</v>
      </c>
      <c r="D66" s="98">
        <v>355029.02</v>
      </c>
      <c r="E66" s="98">
        <v>807848.05</v>
      </c>
      <c r="F66" s="52">
        <f t="shared" si="0"/>
        <v>0.06838885019018674</v>
      </c>
      <c r="G66" s="52">
        <f t="shared" si="1"/>
        <v>856567.8899999999</v>
      </c>
      <c r="H66" s="98">
        <v>211811.77</v>
      </c>
      <c r="I66" s="98">
        <v>661370.77</v>
      </c>
      <c r="J66" s="52">
        <f t="shared" si="3"/>
        <v>0</v>
      </c>
      <c r="K66" s="169">
        <f t="shared" si="2"/>
        <v>1003045.1699999999</v>
      </c>
      <c r="L66" s="110">
        <v>0</v>
      </c>
      <c r="M66" s="136"/>
    </row>
    <row r="67" spans="1:13" ht="12.75" customHeight="1">
      <c r="A67" s="167" t="s">
        <v>253</v>
      </c>
      <c r="B67" s="98">
        <v>2175000</v>
      </c>
      <c r="C67" s="98">
        <v>1855527.4</v>
      </c>
      <c r="D67" s="98">
        <v>150802.15</v>
      </c>
      <c r="E67" s="98">
        <v>299517.12</v>
      </c>
      <c r="F67" s="52">
        <f t="shared" si="0"/>
        <v>0.025355797354559666</v>
      </c>
      <c r="G67" s="52">
        <f t="shared" si="1"/>
        <v>1556010.2799999998</v>
      </c>
      <c r="H67" s="98">
        <v>150802.15</v>
      </c>
      <c r="I67" s="98">
        <v>299517.12</v>
      </c>
      <c r="J67" s="52">
        <f t="shared" si="3"/>
        <v>0</v>
      </c>
      <c r="K67" s="169">
        <f t="shared" si="2"/>
        <v>1556010.2799999998</v>
      </c>
      <c r="L67" s="110">
        <v>0</v>
      </c>
      <c r="M67" s="136"/>
    </row>
    <row r="68" spans="1:13" ht="12.75" customHeight="1">
      <c r="A68" s="167" t="s">
        <v>254</v>
      </c>
      <c r="B68" s="98">
        <v>0</v>
      </c>
      <c r="C68" s="98">
        <v>0</v>
      </c>
      <c r="D68" s="98">
        <v>0</v>
      </c>
      <c r="E68" s="98">
        <v>0</v>
      </c>
      <c r="F68" s="52">
        <f t="shared" si="0"/>
        <v>0</v>
      </c>
      <c r="G68" s="52">
        <f t="shared" si="1"/>
        <v>0</v>
      </c>
      <c r="H68" s="98">
        <v>0</v>
      </c>
      <c r="I68" s="98">
        <v>0</v>
      </c>
      <c r="J68" s="52">
        <f t="shared" si="3"/>
        <v>0</v>
      </c>
      <c r="K68" s="169">
        <f t="shared" si="2"/>
        <v>0</v>
      </c>
      <c r="L68" s="110">
        <v>0</v>
      </c>
      <c r="M68" s="136"/>
    </row>
    <row r="69" spans="1:13" ht="12.75" customHeight="1">
      <c r="A69" s="167" t="s">
        <v>255</v>
      </c>
      <c r="B69" s="98">
        <v>0</v>
      </c>
      <c r="C69" s="98">
        <v>0</v>
      </c>
      <c r="D69" s="98">
        <v>0</v>
      </c>
      <c r="E69" s="98">
        <v>0</v>
      </c>
      <c r="F69" s="52">
        <f t="shared" si="0"/>
        <v>0</v>
      </c>
      <c r="G69" s="52">
        <f t="shared" si="1"/>
        <v>0</v>
      </c>
      <c r="H69" s="98">
        <v>0</v>
      </c>
      <c r="I69" s="98">
        <v>0</v>
      </c>
      <c r="J69" s="52">
        <f t="shared" si="3"/>
        <v>0</v>
      </c>
      <c r="K69" s="169">
        <f t="shared" si="2"/>
        <v>0</v>
      </c>
      <c r="L69" s="110">
        <v>0</v>
      </c>
      <c r="M69" s="136"/>
    </row>
    <row r="70" spans="1:13" ht="12.75" customHeight="1">
      <c r="A70" s="167" t="s">
        <v>256</v>
      </c>
      <c r="B70" s="98">
        <v>132000</v>
      </c>
      <c r="C70" s="98">
        <v>288461.5</v>
      </c>
      <c r="D70" s="98">
        <v>166716.15</v>
      </c>
      <c r="E70" s="98">
        <v>239223.31</v>
      </c>
      <c r="F70" s="52">
        <f t="shared" si="0"/>
        <v>0.02025158952799428</v>
      </c>
      <c r="G70" s="52">
        <f t="shared" si="1"/>
        <v>49238.19</v>
      </c>
      <c r="H70" s="98">
        <v>63931.45</v>
      </c>
      <c r="I70" s="98">
        <v>119164.11</v>
      </c>
      <c r="J70" s="52">
        <f t="shared" si="3"/>
        <v>0</v>
      </c>
      <c r="K70" s="169">
        <f t="shared" si="2"/>
        <v>169297.39</v>
      </c>
      <c r="L70" s="110">
        <v>0</v>
      </c>
      <c r="M70" s="136"/>
    </row>
    <row r="71" spans="1:13" ht="12.75" customHeight="1">
      <c r="A71" s="167" t="s">
        <v>257</v>
      </c>
      <c r="B71" s="98">
        <v>0</v>
      </c>
      <c r="C71" s="98">
        <v>0</v>
      </c>
      <c r="D71" s="98">
        <v>0</v>
      </c>
      <c r="E71" s="98">
        <v>0</v>
      </c>
      <c r="F71" s="52">
        <f t="shared" si="0"/>
        <v>0</v>
      </c>
      <c r="G71" s="52">
        <f t="shared" si="1"/>
        <v>0</v>
      </c>
      <c r="H71" s="98">
        <v>0</v>
      </c>
      <c r="I71" s="98">
        <v>0</v>
      </c>
      <c r="J71" s="52">
        <f t="shared" si="3"/>
        <v>0</v>
      </c>
      <c r="K71" s="169">
        <f t="shared" si="2"/>
        <v>0</v>
      </c>
      <c r="L71" s="110">
        <v>0</v>
      </c>
      <c r="M71" s="136"/>
    </row>
    <row r="72" spans="1:13" ht="12.75" customHeight="1">
      <c r="A72" s="167" t="s">
        <v>211</v>
      </c>
      <c r="B72" s="98">
        <v>1419000</v>
      </c>
      <c r="C72" s="98">
        <v>1691595.16</v>
      </c>
      <c r="D72" s="98">
        <v>426292.97</v>
      </c>
      <c r="E72" s="98">
        <v>1393106.2</v>
      </c>
      <c r="F72" s="52">
        <f t="shared" si="0"/>
        <v>0.11793422192554692</v>
      </c>
      <c r="G72" s="52">
        <f t="shared" si="1"/>
        <v>298488.95999999996</v>
      </c>
      <c r="H72" s="98">
        <v>411213.81</v>
      </c>
      <c r="I72" s="98">
        <v>1042560.58</v>
      </c>
      <c r="J72" s="52">
        <f t="shared" si="3"/>
        <v>0</v>
      </c>
      <c r="K72" s="169">
        <f t="shared" si="2"/>
        <v>649034.58</v>
      </c>
      <c r="L72" s="110">
        <v>0</v>
      </c>
      <c r="M72" s="136"/>
    </row>
    <row r="73" spans="1:13" ht="12.75" customHeight="1">
      <c r="A73" s="166" t="s">
        <v>258</v>
      </c>
      <c r="B73" s="49">
        <f>SUM(B74:B78)</f>
        <v>187000</v>
      </c>
      <c r="C73" s="49">
        <f>SUM(C74:C78)</f>
        <v>187000</v>
      </c>
      <c r="D73" s="49">
        <f>SUM(D74:D78)</f>
        <v>17956.23</v>
      </c>
      <c r="E73" s="49">
        <f>SUM(E74:E78)</f>
        <v>55538.47</v>
      </c>
      <c r="F73" s="49">
        <f t="shared" si="0"/>
        <v>0.004701641731538722</v>
      </c>
      <c r="G73" s="49">
        <f t="shared" si="1"/>
        <v>131461.53</v>
      </c>
      <c r="H73" s="49">
        <f>SUM(H74:H78)</f>
        <v>17956.23</v>
      </c>
      <c r="I73" s="49">
        <f>SUM(I74:I78)</f>
        <v>55538.47</v>
      </c>
      <c r="J73" s="49">
        <f t="shared" si="3"/>
        <v>0</v>
      </c>
      <c r="K73" s="49">
        <f t="shared" si="2"/>
        <v>131461.53</v>
      </c>
      <c r="L73" s="49">
        <f>SUM(L74:L78)</f>
        <v>0</v>
      </c>
      <c r="M73" s="136"/>
    </row>
    <row r="74" spans="1:13" ht="12.75" customHeight="1">
      <c r="A74" s="167" t="s">
        <v>259</v>
      </c>
      <c r="B74" s="98">
        <v>187000</v>
      </c>
      <c r="C74" s="98">
        <v>187000</v>
      </c>
      <c r="D74" s="98">
        <v>17956.23</v>
      </c>
      <c r="E74" s="98">
        <v>55538.47</v>
      </c>
      <c r="F74" s="52">
        <f t="shared" si="0"/>
        <v>0.004701641731538722</v>
      </c>
      <c r="G74" s="52">
        <f t="shared" si="1"/>
        <v>131461.53</v>
      </c>
      <c r="H74" s="110">
        <v>17956.23</v>
      </c>
      <c r="I74" s="110">
        <v>55538.47</v>
      </c>
      <c r="J74" s="52">
        <f t="shared" si="3"/>
        <v>0</v>
      </c>
      <c r="K74" s="169">
        <f t="shared" si="2"/>
        <v>131461.53</v>
      </c>
      <c r="L74" s="110">
        <v>0</v>
      </c>
      <c r="M74" s="136"/>
    </row>
    <row r="75" spans="1:13" ht="12.75" customHeight="1">
      <c r="A75" s="167" t="s">
        <v>260</v>
      </c>
      <c r="B75" s="98">
        <v>0</v>
      </c>
      <c r="C75" s="98">
        <v>0</v>
      </c>
      <c r="D75" s="98">
        <v>0</v>
      </c>
      <c r="E75" s="98">
        <v>0</v>
      </c>
      <c r="F75" s="52">
        <f t="shared" si="0"/>
        <v>0</v>
      </c>
      <c r="G75" s="52">
        <f t="shared" si="1"/>
        <v>0</v>
      </c>
      <c r="H75" s="110">
        <v>0</v>
      </c>
      <c r="I75" s="110">
        <v>0</v>
      </c>
      <c r="J75" s="52">
        <f t="shared" si="3"/>
        <v>0</v>
      </c>
      <c r="K75" s="169">
        <f t="shared" si="2"/>
        <v>0</v>
      </c>
      <c r="L75" s="110">
        <v>0</v>
      </c>
      <c r="M75" s="136"/>
    </row>
    <row r="76" spans="1:13" ht="12.75" customHeight="1">
      <c r="A76" s="167" t="s">
        <v>261</v>
      </c>
      <c r="B76" s="98">
        <v>0</v>
      </c>
      <c r="C76" s="98">
        <v>0</v>
      </c>
      <c r="D76" s="98">
        <v>0</v>
      </c>
      <c r="E76" s="98">
        <v>0</v>
      </c>
      <c r="F76" s="52">
        <f t="shared" si="0"/>
        <v>0</v>
      </c>
      <c r="G76" s="52">
        <f t="shared" si="1"/>
        <v>0</v>
      </c>
      <c r="H76" s="98">
        <v>0</v>
      </c>
      <c r="I76" s="98">
        <v>0</v>
      </c>
      <c r="J76" s="52">
        <f t="shared" si="3"/>
        <v>0</v>
      </c>
      <c r="K76" s="169">
        <f t="shared" si="2"/>
        <v>0</v>
      </c>
      <c r="L76" s="110">
        <v>0</v>
      </c>
      <c r="M76" s="136"/>
    </row>
    <row r="77" spans="1:13" ht="12.75" customHeight="1">
      <c r="A77" s="167" t="s">
        <v>262</v>
      </c>
      <c r="B77" s="110">
        <v>0</v>
      </c>
      <c r="C77" s="110">
        <v>0</v>
      </c>
      <c r="D77" s="110">
        <v>0</v>
      </c>
      <c r="E77" s="110">
        <v>0</v>
      </c>
      <c r="F77" s="52">
        <f t="shared" si="0"/>
        <v>0</v>
      </c>
      <c r="G77" s="52">
        <f t="shared" si="1"/>
        <v>0</v>
      </c>
      <c r="H77" s="110">
        <v>0</v>
      </c>
      <c r="I77" s="110">
        <v>0</v>
      </c>
      <c r="J77" s="52">
        <f t="shared" si="3"/>
        <v>0</v>
      </c>
      <c r="K77" s="169">
        <f t="shared" si="2"/>
        <v>0</v>
      </c>
      <c r="L77" s="110">
        <v>0</v>
      </c>
      <c r="M77" s="136"/>
    </row>
    <row r="78" spans="1:13" ht="12.75" customHeight="1">
      <c r="A78" s="167" t="s">
        <v>211</v>
      </c>
      <c r="B78" s="110">
        <v>0</v>
      </c>
      <c r="C78" s="110">
        <v>0</v>
      </c>
      <c r="D78" s="110">
        <v>0</v>
      </c>
      <c r="E78" s="110">
        <v>0</v>
      </c>
      <c r="F78" s="52">
        <f t="shared" si="0"/>
        <v>0</v>
      </c>
      <c r="G78" s="52">
        <f t="shared" si="1"/>
        <v>0</v>
      </c>
      <c r="H78" s="110">
        <v>0</v>
      </c>
      <c r="I78" s="110">
        <v>0</v>
      </c>
      <c r="J78" s="52">
        <f t="shared" si="3"/>
        <v>0</v>
      </c>
      <c r="K78" s="169">
        <f t="shared" si="2"/>
        <v>0</v>
      </c>
      <c r="L78" s="110">
        <v>0</v>
      </c>
      <c r="M78" s="136"/>
    </row>
    <row r="79" spans="1:13" ht="12.75" customHeight="1">
      <c r="A79" s="166" t="s">
        <v>263</v>
      </c>
      <c r="B79" s="49">
        <f>SUM(B80:B88)</f>
        <v>12224000</v>
      </c>
      <c r="C79" s="49">
        <f>SUM(C80:C88)</f>
        <v>12734242.67</v>
      </c>
      <c r="D79" s="49">
        <f>SUM(D80:D88)</f>
        <v>1980639.8599999999</v>
      </c>
      <c r="E79" s="49">
        <f>SUM(E80:E88)</f>
        <v>5340441.699999999</v>
      </c>
      <c r="F79" s="49">
        <f t="shared" si="0"/>
        <v>0.45209822239556824</v>
      </c>
      <c r="G79" s="49">
        <f t="shared" si="1"/>
        <v>7393800.970000001</v>
      </c>
      <c r="H79" s="49">
        <f>SUM(H80:H88)</f>
        <v>1324318.01</v>
      </c>
      <c r="I79" s="49">
        <f>SUM(I80:I88)</f>
        <v>3912126.18</v>
      </c>
      <c r="J79" s="49">
        <f t="shared" si="3"/>
        <v>0</v>
      </c>
      <c r="K79" s="49">
        <f t="shared" si="2"/>
        <v>8822116.49</v>
      </c>
      <c r="L79" s="49">
        <f>SUM(L80:L88)</f>
        <v>0</v>
      </c>
      <c r="M79" s="136"/>
    </row>
    <row r="80" spans="1:13" ht="12.75" customHeight="1">
      <c r="A80" s="167" t="s">
        <v>264</v>
      </c>
      <c r="B80" s="98">
        <v>10175000</v>
      </c>
      <c r="C80" s="98">
        <v>10738345.67</v>
      </c>
      <c r="D80" s="98">
        <v>1821658.41</v>
      </c>
      <c r="E80" s="98">
        <v>4907264.52</v>
      </c>
      <c r="F80" s="52">
        <f t="shared" si="0"/>
        <v>0.4154273543173108</v>
      </c>
      <c r="G80" s="52">
        <f t="shared" si="1"/>
        <v>5831081.15</v>
      </c>
      <c r="H80" s="98">
        <v>1165336.56</v>
      </c>
      <c r="I80" s="98">
        <v>3478949</v>
      </c>
      <c r="J80" s="52">
        <f t="shared" si="3"/>
        <v>0</v>
      </c>
      <c r="K80" s="169">
        <f t="shared" si="2"/>
        <v>7259396.67</v>
      </c>
      <c r="L80" s="110">
        <v>0</v>
      </c>
      <c r="M80" s="136"/>
    </row>
    <row r="81" spans="1:13" ht="12.75" customHeight="1">
      <c r="A81" s="167" t="s">
        <v>265</v>
      </c>
      <c r="B81" s="98">
        <v>122000</v>
      </c>
      <c r="C81" s="98">
        <v>122000</v>
      </c>
      <c r="D81" s="98">
        <v>0</v>
      </c>
      <c r="E81" s="98">
        <v>0</v>
      </c>
      <c r="F81" s="52">
        <f t="shared" si="0"/>
        <v>0</v>
      </c>
      <c r="G81" s="52">
        <f t="shared" si="1"/>
        <v>122000</v>
      </c>
      <c r="H81" s="98">
        <v>0</v>
      </c>
      <c r="I81" s="98">
        <v>0</v>
      </c>
      <c r="J81" s="52">
        <f t="shared" si="3"/>
        <v>0</v>
      </c>
      <c r="K81" s="169">
        <f t="shared" si="2"/>
        <v>122000</v>
      </c>
      <c r="L81" s="110">
        <v>0</v>
      </c>
      <c r="M81" s="136"/>
    </row>
    <row r="82" spans="1:13" ht="12.75" customHeight="1">
      <c r="A82" s="167" t="s">
        <v>266</v>
      </c>
      <c r="B82" s="98">
        <v>0</v>
      </c>
      <c r="C82" s="98">
        <v>0</v>
      </c>
      <c r="D82" s="98">
        <v>0</v>
      </c>
      <c r="E82" s="98">
        <v>0</v>
      </c>
      <c r="F82" s="52">
        <f t="shared" si="0"/>
        <v>0</v>
      </c>
      <c r="G82" s="52">
        <f t="shared" si="1"/>
        <v>0</v>
      </c>
      <c r="H82" s="98">
        <v>0</v>
      </c>
      <c r="I82" s="98">
        <v>0</v>
      </c>
      <c r="J82" s="52">
        <f t="shared" si="3"/>
        <v>0</v>
      </c>
      <c r="K82" s="169">
        <f t="shared" si="2"/>
        <v>0</v>
      </c>
      <c r="L82" s="110">
        <v>0</v>
      </c>
      <c r="M82" s="136"/>
    </row>
    <row r="83" spans="1:13" ht="12.75" customHeight="1">
      <c r="A83" s="167" t="s">
        <v>267</v>
      </c>
      <c r="B83" s="98">
        <v>17000</v>
      </c>
      <c r="C83" s="98">
        <v>17000</v>
      </c>
      <c r="D83" s="98">
        <v>0</v>
      </c>
      <c r="E83" s="98">
        <v>0</v>
      </c>
      <c r="F83" s="52">
        <f t="shared" si="0"/>
        <v>0</v>
      </c>
      <c r="G83" s="52">
        <f t="shared" si="1"/>
        <v>17000</v>
      </c>
      <c r="H83" s="98">
        <v>0</v>
      </c>
      <c r="I83" s="98">
        <v>0</v>
      </c>
      <c r="J83" s="52">
        <f t="shared" si="3"/>
        <v>0</v>
      </c>
      <c r="K83" s="169">
        <f t="shared" si="2"/>
        <v>17000</v>
      </c>
      <c r="L83" s="110">
        <v>0</v>
      </c>
      <c r="M83" s="136"/>
    </row>
    <row r="84" spans="1:13" ht="12.75" customHeight="1">
      <c r="A84" s="167" t="s">
        <v>268</v>
      </c>
      <c r="B84" s="98">
        <v>1497000</v>
      </c>
      <c r="C84" s="98">
        <v>1526799.65</v>
      </c>
      <c r="D84" s="98">
        <v>158981.45</v>
      </c>
      <c r="E84" s="98">
        <v>433177.18</v>
      </c>
      <c r="F84" s="52">
        <f t="shared" si="0"/>
        <v>0.036670868078257486</v>
      </c>
      <c r="G84" s="52">
        <f t="shared" si="1"/>
        <v>1093622.47</v>
      </c>
      <c r="H84" s="98">
        <v>158981.45</v>
      </c>
      <c r="I84" s="98">
        <v>433177.18</v>
      </c>
      <c r="J84" s="52">
        <f t="shared" si="3"/>
        <v>0</v>
      </c>
      <c r="K84" s="169">
        <f t="shared" si="2"/>
        <v>1093622.47</v>
      </c>
      <c r="L84" s="110">
        <v>0</v>
      </c>
      <c r="M84" s="136"/>
    </row>
    <row r="85" spans="1:13" ht="12.75" customHeight="1">
      <c r="A85" s="167" t="s">
        <v>269</v>
      </c>
      <c r="B85" s="98">
        <v>413000</v>
      </c>
      <c r="C85" s="98">
        <v>330097.35</v>
      </c>
      <c r="D85" s="98">
        <v>0</v>
      </c>
      <c r="E85" s="98">
        <v>0</v>
      </c>
      <c r="F85" s="52">
        <f t="shared" si="0"/>
        <v>0</v>
      </c>
      <c r="G85" s="52">
        <f t="shared" si="1"/>
        <v>330097.35</v>
      </c>
      <c r="H85" s="98">
        <v>0</v>
      </c>
      <c r="I85" s="98">
        <v>0</v>
      </c>
      <c r="J85" s="52">
        <f t="shared" si="3"/>
        <v>0</v>
      </c>
      <c r="K85" s="169">
        <f t="shared" si="2"/>
        <v>330097.35</v>
      </c>
      <c r="L85" s="110">
        <v>0</v>
      </c>
      <c r="M85" s="136"/>
    </row>
    <row r="86" spans="1:13" ht="12.75" customHeight="1">
      <c r="A86" s="167" t="s">
        <v>270</v>
      </c>
      <c r="B86" s="98">
        <v>0</v>
      </c>
      <c r="C86" s="98">
        <v>0</v>
      </c>
      <c r="D86" s="98">
        <v>0</v>
      </c>
      <c r="E86" s="98">
        <v>0</v>
      </c>
      <c r="F86" s="52">
        <f t="shared" si="0"/>
        <v>0</v>
      </c>
      <c r="G86" s="52">
        <f t="shared" si="1"/>
        <v>0</v>
      </c>
      <c r="H86" s="98">
        <v>0</v>
      </c>
      <c r="I86" s="98">
        <v>0</v>
      </c>
      <c r="J86" s="52">
        <f t="shared" si="3"/>
        <v>0</v>
      </c>
      <c r="K86" s="169">
        <f t="shared" si="2"/>
        <v>0</v>
      </c>
      <c r="L86" s="110">
        <v>0</v>
      </c>
      <c r="M86" s="136"/>
    </row>
    <row r="87" spans="1:13" ht="12.75" customHeight="1">
      <c r="A87" s="167" t="s">
        <v>271</v>
      </c>
      <c r="B87" s="98">
        <v>0</v>
      </c>
      <c r="C87" s="98">
        <v>0</v>
      </c>
      <c r="D87" s="98">
        <v>0</v>
      </c>
      <c r="E87" s="98">
        <v>0</v>
      </c>
      <c r="F87" s="52"/>
      <c r="G87" s="52">
        <f t="shared" si="1"/>
        <v>0</v>
      </c>
      <c r="H87" s="98">
        <v>0</v>
      </c>
      <c r="I87" s="98">
        <v>0</v>
      </c>
      <c r="J87" s="52"/>
      <c r="K87" s="169">
        <f t="shared" si="2"/>
        <v>0</v>
      </c>
      <c r="L87" s="110">
        <v>0</v>
      </c>
      <c r="M87" s="136"/>
    </row>
    <row r="88" spans="1:13" ht="12.75" customHeight="1">
      <c r="A88" s="167" t="s">
        <v>211</v>
      </c>
      <c r="B88" s="98">
        <v>0</v>
      </c>
      <c r="C88" s="98">
        <v>0</v>
      </c>
      <c r="D88" s="98">
        <v>0</v>
      </c>
      <c r="E88" s="98">
        <v>0</v>
      </c>
      <c r="F88" s="52">
        <f aca="true" t="shared" si="4" ref="F88:F177">IF(E$181="",0,IF(E$181=0,0,E88/E$181))</f>
        <v>0</v>
      </c>
      <c r="G88" s="52">
        <f t="shared" si="1"/>
        <v>0</v>
      </c>
      <c r="H88" s="98">
        <v>0</v>
      </c>
      <c r="I88" s="98">
        <v>0</v>
      </c>
      <c r="J88" s="52">
        <f aca="true" t="shared" si="5" ref="J88:J123">IF(I253="",0,IF(I253=0,0,I88/I$181))</f>
        <v>0</v>
      </c>
      <c r="K88" s="169">
        <f t="shared" si="2"/>
        <v>0</v>
      </c>
      <c r="L88" s="110">
        <v>0</v>
      </c>
      <c r="M88" s="136"/>
    </row>
    <row r="89" spans="1:13" ht="12.75" customHeight="1">
      <c r="A89" s="166" t="s">
        <v>272</v>
      </c>
      <c r="B89" s="49">
        <f>SUM(B90:B92)</f>
        <v>462000</v>
      </c>
      <c r="C89" s="49">
        <f>SUM(C90:C92)</f>
        <v>462000</v>
      </c>
      <c r="D89" s="49">
        <f>SUM(D90:D92)</f>
        <v>0</v>
      </c>
      <c r="E89" s="49">
        <f>SUM(E90:E92)</f>
        <v>0</v>
      </c>
      <c r="F89" s="49">
        <f t="shared" si="4"/>
        <v>0</v>
      </c>
      <c r="G89" s="49">
        <f t="shared" si="1"/>
        <v>462000</v>
      </c>
      <c r="H89" s="49">
        <f>SUM(H90:H92)</f>
        <v>0</v>
      </c>
      <c r="I89" s="49">
        <f>SUM(I90:I92)</f>
        <v>0</v>
      </c>
      <c r="J89" s="49">
        <f t="shared" si="5"/>
        <v>0</v>
      </c>
      <c r="K89" s="49">
        <f t="shared" si="2"/>
        <v>462000</v>
      </c>
      <c r="L89" s="49">
        <f>SUM(L90:L92)</f>
        <v>0</v>
      </c>
      <c r="M89" s="136"/>
    </row>
    <row r="90" spans="1:13" ht="12.75" customHeight="1">
      <c r="A90" s="167" t="s">
        <v>273</v>
      </c>
      <c r="B90" s="98">
        <v>0</v>
      </c>
      <c r="C90" s="98">
        <v>0</v>
      </c>
      <c r="D90" s="98">
        <v>0</v>
      </c>
      <c r="E90" s="98">
        <v>0</v>
      </c>
      <c r="F90" s="52">
        <f t="shared" si="4"/>
        <v>0</v>
      </c>
      <c r="G90" s="52">
        <f t="shared" si="1"/>
        <v>0</v>
      </c>
      <c r="H90" s="98">
        <v>0</v>
      </c>
      <c r="I90" s="98">
        <v>0</v>
      </c>
      <c r="J90" s="52">
        <f t="shared" si="5"/>
        <v>0</v>
      </c>
      <c r="K90" s="169">
        <f t="shared" si="2"/>
        <v>0</v>
      </c>
      <c r="L90" s="110">
        <v>0</v>
      </c>
      <c r="M90" s="136"/>
    </row>
    <row r="91" spans="1:13" ht="12.75" customHeight="1">
      <c r="A91" s="167" t="s">
        <v>274</v>
      </c>
      <c r="B91" s="98">
        <v>462000</v>
      </c>
      <c r="C91" s="98">
        <v>462000</v>
      </c>
      <c r="D91" s="98">
        <v>0</v>
      </c>
      <c r="E91" s="98">
        <v>0</v>
      </c>
      <c r="F91" s="52">
        <f t="shared" si="4"/>
        <v>0</v>
      </c>
      <c r="G91" s="52">
        <f t="shared" si="1"/>
        <v>462000</v>
      </c>
      <c r="H91" s="98">
        <v>0</v>
      </c>
      <c r="I91" s="98">
        <v>0</v>
      </c>
      <c r="J91" s="52">
        <f t="shared" si="5"/>
        <v>0</v>
      </c>
      <c r="K91" s="169">
        <f t="shared" si="2"/>
        <v>462000</v>
      </c>
      <c r="L91" s="110">
        <v>0</v>
      </c>
      <c r="M91" s="136"/>
    </row>
    <row r="92" spans="1:13" ht="12.75" customHeight="1">
      <c r="A92" s="167" t="s">
        <v>211</v>
      </c>
      <c r="B92" s="110">
        <v>0</v>
      </c>
      <c r="C92" s="110">
        <v>0</v>
      </c>
      <c r="D92" s="110">
        <v>0</v>
      </c>
      <c r="E92" s="110">
        <v>0</v>
      </c>
      <c r="F92" s="52">
        <f t="shared" si="4"/>
        <v>0</v>
      </c>
      <c r="G92" s="52">
        <f t="shared" si="1"/>
        <v>0</v>
      </c>
      <c r="H92" s="110">
        <v>0</v>
      </c>
      <c r="I92" s="110">
        <v>0</v>
      </c>
      <c r="J92" s="52">
        <f t="shared" si="5"/>
        <v>0</v>
      </c>
      <c r="K92" s="169">
        <f t="shared" si="2"/>
        <v>0</v>
      </c>
      <c r="L92" s="110">
        <v>0</v>
      </c>
      <c r="M92" s="136"/>
    </row>
    <row r="93" spans="1:13" ht="12.75" customHeight="1">
      <c r="A93" s="166" t="s">
        <v>275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6"/>
    </row>
    <row r="94" spans="1:13" ht="12.75" customHeight="1">
      <c r="A94" s="167" t="s">
        <v>276</v>
      </c>
      <c r="B94" s="110">
        <v>0</v>
      </c>
      <c r="C94" s="110">
        <v>0</v>
      </c>
      <c r="D94" s="110">
        <v>0</v>
      </c>
      <c r="E94" s="110">
        <v>0</v>
      </c>
      <c r="F94" s="52">
        <f t="shared" si="4"/>
        <v>0</v>
      </c>
      <c r="G94" s="52">
        <f t="shared" si="1"/>
        <v>0</v>
      </c>
      <c r="H94" s="110">
        <v>0</v>
      </c>
      <c r="I94" s="110">
        <v>0</v>
      </c>
      <c r="J94" s="52">
        <f t="shared" si="5"/>
        <v>0</v>
      </c>
      <c r="K94" s="169">
        <f t="shared" si="2"/>
        <v>0</v>
      </c>
      <c r="L94" s="110">
        <v>0</v>
      </c>
      <c r="M94" s="136"/>
    </row>
    <row r="95" spans="1:13" ht="12.75" customHeight="1">
      <c r="A95" s="167" t="s">
        <v>277</v>
      </c>
      <c r="B95" s="98">
        <v>0</v>
      </c>
      <c r="C95" s="98">
        <v>0</v>
      </c>
      <c r="D95" s="98">
        <v>0</v>
      </c>
      <c r="E95" s="98">
        <v>0</v>
      </c>
      <c r="F95" s="52">
        <f t="shared" si="4"/>
        <v>0</v>
      </c>
      <c r="G95" s="52">
        <f t="shared" si="1"/>
        <v>0</v>
      </c>
      <c r="H95" s="98">
        <v>0</v>
      </c>
      <c r="I95" s="98">
        <v>0</v>
      </c>
      <c r="J95" s="52">
        <f t="shared" si="5"/>
        <v>0</v>
      </c>
      <c r="K95" s="169">
        <f t="shared" si="2"/>
        <v>0</v>
      </c>
      <c r="L95" s="110">
        <v>0</v>
      </c>
      <c r="M95" s="136"/>
    </row>
    <row r="96" spans="1:13" ht="12.75" customHeight="1">
      <c r="A96" s="167" t="s">
        <v>278</v>
      </c>
      <c r="B96" s="98">
        <v>0</v>
      </c>
      <c r="C96" s="98">
        <v>0</v>
      </c>
      <c r="D96" s="98">
        <v>0</v>
      </c>
      <c r="E96" s="98">
        <v>0</v>
      </c>
      <c r="F96" s="52">
        <f t="shared" si="4"/>
        <v>0</v>
      </c>
      <c r="G96" s="52">
        <f t="shared" si="1"/>
        <v>0</v>
      </c>
      <c r="H96" s="110">
        <v>0</v>
      </c>
      <c r="I96" s="110">
        <v>0</v>
      </c>
      <c r="J96" s="52">
        <f t="shared" si="5"/>
        <v>0</v>
      </c>
      <c r="K96" s="169">
        <f t="shared" si="2"/>
        <v>0</v>
      </c>
      <c r="L96" s="110">
        <v>0</v>
      </c>
      <c r="M96" s="136"/>
    </row>
    <row r="97" spans="1:13" ht="12.75" customHeight="1">
      <c r="A97" s="167" t="s">
        <v>211</v>
      </c>
      <c r="B97" s="98">
        <v>0</v>
      </c>
      <c r="C97" s="98">
        <v>0</v>
      </c>
      <c r="D97" s="98">
        <v>0</v>
      </c>
      <c r="E97" s="98">
        <v>0</v>
      </c>
      <c r="F97" s="52">
        <f t="shared" si="4"/>
        <v>0</v>
      </c>
      <c r="G97" s="52">
        <f t="shared" si="1"/>
        <v>0</v>
      </c>
      <c r="H97" s="110">
        <v>0</v>
      </c>
      <c r="I97" s="110">
        <v>0</v>
      </c>
      <c r="J97" s="52">
        <f t="shared" si="5"/>
        <v>0</v>
      </c>
      <c r="K97" s="169">
        <f t="shared" si="2"/>
        <v>0</v>
      </c>
      <c r="L97" s="110">
        <v>0</v>
      </c>
      <c r="M97" s="136"/>
    </row>
    <row r="98" spans="1:13" ht="12.75" customHeight="1">
      <c r="A98" s="166" t="s">
        <v>279</v>
      </c>
      <c r="B98" s="49">
        <f>SUM(B99:B102)</f>
        <v>891000</v>
      </c>
      <c r="C98" s="49">
        <f>SUM(C99:C102)</f>
        <v>891000</v>
      </c>
      <c r="D98" s="49">
        <f>SUM(D99:D102)</f>
        <v>0</v>
      </c>
      <c r="E98" s="49">
        <f>SUM(E99:E102)</f>
        <v>0</v>
      </c>
      <c r="F98" s="49">
        <f t="shared" si="4"/>
        <v>0</v>
      </c>
      <c r="G98" s="49">
        <f t="shared" si="1"/>
        <v>891000</v>
      </c>
      <c r="H98" s="49">
        <f>SUM(H99:H102)</f>
        <v>0</v>
      </c>
      <c r="I98" s="49">
        <f>SUM(I99:I102)</f>
        <v>0</v>
      </c>
      <c r="J98" s="49">
        <f t="shared" si="5"/>
        <v>0</v>
      </c>
      <c r="K98" s="49">
        <f t="shared" si="2"/>
        <v>891000</v>
      </c>
      <c r="L98" s="49">
        <f>SUM(L99:L102)</f>
        <v>0</v>
      </c>
      <c r="M98" s="136"/>
    </row>
    <row r="99" spans="1:13" ht="12.75" customHeight="1">
      <c r="A99" s="167" t="s">
        <v>280</v>
      </c>
      <c r="B99" s="98">
        <v>821000</v>
      </c>
      <c r="C99" s="98">
        <v>821000</v>
      </c>
      <c r="D99" s="98">
        <v>0</v>
      </c>
      <c r="E99" s="98">
        <v>0</v>
      </c>
      <c r="F99" s="52">
        <f t="shared" si="4"/>
        <v>0</v>
      </c>
      <c r="G99" s="52">
        <f t="shared" si="1"/>
        <v>821000</v>
      </c>
      <c r="H99" s="98">
        <v>0</v>
      </c>
      <c r="I99" s="98">
        <v>0</v>
      </c>
      <c r="J99" s="52">
        <f t="shared" si="5"/>
        <v>0</v>
      </c>
      <c r="K99" s="169">
        <f t="shared" si="2"/>
        <v>821000</v>
      </c>
      <c r="L99" s="110">
        <v>0</v>
      </c>
      <c r="M99" s="136"/>
    </row>
    <row r="100" spans="1:13" ht="12.75" customHeight="1">
      <c r="A100" s="167" t="s">
        <v>281</v>
      </c>
      <c r="B100" s="98">
        <v>70000</v>
      </c>
      <c r="C100" s="98">
        <v>70000</v>
      </c>
      <c r="D100" s="98">
        <v>0</v>
      </c>
      <c r="E100" s="98">
        <v>0</v>
      </c>
      <c r="F100" s="52">
        <f t="shared" si="4"/>
        <v>0</v>
      </c>
      <c r="G100" s="52">
        <f t="shared" si="1"/>
        <v>70000</v>
      </c>
      <c r="H100" s="98">
        <v>0</v>
      </c>
      <c r="I100" s="98">
        <v>0</v>
      </c>
      <c r="J100" s="52">
        <f t="shared" si="5"/>
        <v>0</v>
      </c>
      <c r="K100" s="169">
        <f t="shared" si="2"/>
        <v>70000</v>
      </c>
      <c r="L100" s="110">
        <v>0</v>
      </c>
      <c r="M100" s="136"/>
    </row>
    <row r="101" spans="1:13" ht="12.75" customHeight="1">
      <c r="A101" s="167" t="s">
        <v>282</v>
      </c>
      <c r="B101" s="98">
        <v>0</v>
      </c>
      <c r="C101" s="98">
        <v>0</v>
      </c>
      <c r="D101" s="98">
        <v>0</v>
      </c>
      <c r="E101" s="98">
        <v>0</v>
      </c>
      <c r="F101" s="52">
        <f t="shared" si="4"/>
        <v>0</v>
      </c>
      <c r="G101" s="52">
        <f t="shared" si="1"/>
        <v>0</v>
      </c>
      <c r="H101" s="98">
        <v>0</v>
      </c>
      <c r="I101" s="98">
        <v>0</v>
      </c>
      <c r="J101" s="52">
        <f t="shared" si="5"/>
        <v>0</v>
      </c>
      <c r="K101" s="169">
        <f t="shared" si="2"/>
        <v>0</v>
      </c>
      <c r="L101" s="110">
        <v>0</v>
      </c>
      <c r="M101" s="136"/>
    </row>
    <row r="102" spans="1:13" ht="12.75" customHeight="1">
      <c r="A102" s="167" t="s">
        <v>211</v>
      </c>
      <c r="B102" s="98">
        <v>0</v>
      </c>
      <c r="C102" s="98">
        <v>0</v>
      </c>
      <c r="D102" s="98">
        <v>0</v>
      </c>
      <c r="E102" s="98">
        <v>0</v>
      </c>
      <c r="F102" s="52">
        <f t="shared" si="4"/>
        <v>0</v>
      </c>
      <c r="G102" s="52">
        <f t="shared" si="1"/>
        <v>0</v>
      </c>
      <c r="H102" s="98">
        <v>0</v>
      </c>
      <c r="I102" s="98">
        <v>0</v>
      </c>
      <c r="J102" s="52">
        <f t="shared" si="5"/>
        <v>0</v>
      </c>
      <c r="K102" s="169">
        <f t="shared" si="2"/>
        <v>0</v>
      </c>
      <c r="L102" s="110">
        <v>0</v>
      </c>
      <c r="M102" s="136"/>
    </row>
    <row r="103" spans="1:13" ht="12.75" customHeight="1">
      <c r="A103" s="166" t="s">
        <v>283</v>
      </c>
      <c r="B103" s="49">
        <f>SUM(B104:B106)</f>
        <v>0</v>
      </c>
      <c r="C103" s="49">
        <f>SUM(C104:C106)</f>
        <v>0</v>
      </c>
      <c r="D103" s="49">
        <f>SUM(D104:D106)</f>
        <v>0</v>
      </c>
      <c r="E103" s="49">
        <f>SUM(E104:E106)</f>
        <v>0</v>
      </c>
      <c r="F103" s="49">
        <f t="shared" si="4"/>
        <v>0</v>
      </c>
      <c r="G103" s="49">
        <f t="shared" si="1"/>
        <v>0</v>
      </c>
      <c r="H103" s="49">
        <f>SUM(H104:H106)</f>
        <v>0</v>
      </c>
      <c r="I103" s="49">
        <f>SUM(I104:I106)</f>
        <v>0</v>
      </c>
      <c r="J103" s="49">
        <f t="shared" si="5"/>
        <v>0</v>
      </c>
      <c r="K103" s="49">
        <f t="shared" si="2"/>
        <v>0</v>
      </c>
      <c r="L103" s="49">
        <f>SUM(L104:L106)</f>
        <v>0</v>
      </c>
      <c r="M103" s="136"/>
    </row>
    <row r="104" spans="1:13" ht="12.75" customHeight="1">
      <c r="A104" s="167" t="s">
        <v>284</v>
      </c>
      <c r="B104" s="110">
        <v>0</v>
      </c>
      <c r="C104" s="110">
        <v>0</v>
      </c>
      <c r="D104" s="110">
        <v>0</v>
      </c>
      <c r="E104" s="110">
        <v>0</v>
      </c>
      <c r="F104" s="52">
        <f t="shared" si="4"/>
        <v>0</v>
      </c>
      <c r="G104" s="52">
        <f t="shared" si="1"/>
        <v>0</v>
      </c>
      <c r="H104" s="110">
        <v>0</v>
      </c>
      <c r="I104" s="110">
        <v>0</v>
      </c>
      <c r="J104" s="52">
        <f t="shared" si="5"/>
        <v>0</v>
      </c>
      <c r="K104" s="169">
        <f t="shared" si="2"/>
        <v>0</v>
      </c>
      <c r="L104" s="110">
        <v>0</v>
      </c>
      <c r="M104" s="136"/>
    </row>
    <row r="105" spans="1:13" ht="12.75" customHeight="1">
      <c r="A105" s="167" t="s">
        <v>285</v>
      </c>
      <c r="B105" s="98">
        <v>0</v>
      </c>
      <c r="C105" s="98">
        <v>0</v>
      </c>
      <c r="D105" s="110">
        <v>0</v>
      </c>
      <c r="E105" s="110">
        <v>0</v>
      </c>
      <c r="F105" s="52">
        <f t="shared" si="4"/>
        <v>0</v>
      </c>
      <c r="G105" s="52">
        <f t="shared" si="1"/>
        <v>0</v>
      </c>
      <c r="H105" s="110">
        <v>0</v>
      </c>
      <c r="I105" s="110">
        <v>0</v>
      </c>
      <c r="J105" s="52">
        <f t="shared" si="5"/>
        <v>0</v>
      </c>
      <c r="K105" s="169">
        <f t="shared" si="2"/>
        <v>0</v>
      </c>
      <c r="L105" s="110">
        <v>0</v>
      </c>
      <c r="M105" s="136"/>
    </row>
    <row r="106" spans="1:13" ht="12.75" customHeight="1">
      <c r="A106" s="167" t="s">
        <v>211</v>
      </c>
      <c r="B106" s="110">
        <v>0</v>
      </c>
      <c r="C106" s="110">
        <v>0</v>
      </c>
      <c r="D106" s="110">
        <v>0</v>
      </c>
      <c r="E106" s="110">
        <v>0</v>
      </c>
      <c r="F106" s="52">
        <f t="shared" si="4"/>
        <v>0</v>
      </c>
      <c r="G106" s="52">
        <f t="shared" si="1"/>
        <v>0</v>
      </c>
      <c r="H106" s="110">
        <v>0</v>
      </c>
      <c r="I106" s="110">
        <v>0</v>
      </c>
      <c r="J106" s="52">
        <f t="shared" si="5"/>
        <v>0</v>
      </c>
      <c r="K106" s="169">
        <f t="shared" si="2"/>
        <v>0</v>
      </c>
      <c r="L106" s="110">
        <v>0</v>
      </c>
      <c r="M106" s="136"/>
    </row>
    <row r="107" spans="1:13" ht="12.75" customHeight="1">
      <c r="A107" s="166" t="s">
        <v>286</v>
      </c>
      <c r="B107" s="49">
        <f>SUM(B108:B110)</f>
        <v>1646000</v>
      </c>
      <c r="C107" s="49">
        <f>SUM(C108:C110)</f>
        <v>1646000</v>
      </c>
      <c r="D107" s="49">
        <f>SUM(D108:D110)</f>
        <v>0</v>
      </c>
      <c r="E107" s="49">
        <f>SUM(E108:E110)</f>
        <v>0</v>
      </c>
      <c r="F107" s="49">
        <f t="shared" si="4"/>
        <v>0</v>
      </c>
      <c r="G107" s="49">
        <f t="shared" si="1"/>
        <v>1646000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1646000</v>
      </c>
      <c r="L107" s="49">
        <f>SUM(L108:L110)</f>
        <v>0</v>
      </c>
      <c r="M107" s="136"/>
    </row>
    <row r="108" spans="1:13" ht="12.75" customHeight="1">
      <c r="A108" s="167" t="s">
        <v>287</v>
      </c>
      <c r="B108" s="110">
        <v>660000</v>
      </c>
      <c r="C108" s="110">
        <v>660000</v>
      </c>
      <c r="D108" s="110">
        <v>0</v>
      </c>
      <c r="E108" s="110">
        <v>0</v>
      </c>
      <c r="F108" s="52">
        <f t="shared" si="4"/>
        <v>0</v>
      </c>
      <c r="G108" s="52">
        <f t="shared" si="1"/>
        <v>660000</v>
      </c>
      <c r="H108" s="110">
        <v>0</v>
      </c>
      <c r="I108" s="110">
        <v>0</v>
      </c>
      <c r="J108" s="52">
        <f t="shared" si="5"/>
        <v>0</v>
      </c>
      <c r="K108" s="169">
        <f t="shared" si="2"/>
        <v>660000</v>
      </c>
      <c r="L108" s="110">
        <v>0</v>
      </c>
      <c r="M108" s="136"/>
    </row>
    <row r="109" spans="1:13" ht="12.75" customHeight="1">
      <c r="A109" s="167" t="s">
        <v>288</v>
      </c>
      <c r="B109" s="98">
        <v>986000</v>
      </c>
      <c r="C109" s="98">
        <v>986000</v>
      </c>
      <c r="D109" s="98">
        <v>0</v>
      </c>
      <c r="E109" s="98">
        <v>0</v>
      </c>
      <c r="F109" s="52">
        <f t="shared" si="4"/>
        <v>0</v>
      </c>
      <c r="G109" s="52">
        <f t="shared" si="1"/>
        <v>986000</v>
      </c>
      <c r="H109" s="98">
        <v>0</v>
      </c>
      <c r="I109" s="98">
        <v>0</v>
      </c>
      <c r="J109" s="52">
        <f t="shared" si="5"/>
        <v>0</v>
      </c>
      <c r="K109" s="169">
        <f t="shared" si="2"/>
        <v>986000</v>
      </c>
      <c r="L109" s="110">
        <v>0</v>
      </c>
      <c r="M109" s="136"/>
    </row>
    <row r="110" spans="1:13" ht="12.75" customHeight="1">
      <c r="A110" s="167" t="s">
        <v>211</v>
      </c>
      <c r="B110" s="98">
        <v>0</v>
      </c>
      <c r="C110" s="98">
        <v>0</v>
      </c>
      <c r="D110" s="98">
        <v>0</v>
      </c>
      <c r="E110" s="98">
        <v>0</v>
      </c>
      <c r="F110" s="52">
        <f t="shared" si="4"/>
        <v>0</v>
      </c>
      <c r="G110" s="52">
        <f t="shared" si="1"/>
        <v>0</v>
      </c>
      <c r="H110" s="98">
        <v>0</v>
      </c>
      <c r="I110" s="98">
        <v>0</v>
      </c>
      <c r="J110" s="52">
        <f t="shared" si="5"/>
        <v>0</v>
      </c>
      <c r="K110" s="169">
        <f t="shared" si="2"/>
        <v>0</v>
      </c>
      <c r="L110" s="110">
        <v>0</v>
      </c>
      <c r="M110" s="136"/>
    </row>
    <row r="111" spans="1:13" ht="12.75" customHeight="1">
      <c r="A111" s="166" t="s">
        <v>289</v>
      </c>
      <c r="B111" s="49">
        <f>SUM(B112:B117)</f>
        <v>534000</v>
      </c>
      <c r="C111" s="49">
        <f>SUM(C112:C117)</f>
        <v>534000</v>
      </c>
      <c r="D111" s="49">
        <f>SUM(D112:D117)</f>
        <v>0</v>
      </c>
      <c r="E111" s="49">
        <f>SUM(E112:E117)</f>
        <v>0</v>
      </c>
      <c r="F111" s="49">
        <f t="shared" si="4"/>
        <v>0</v>
      </c>
      <c r="G111" s="49">
        <f t="shared" si="1"/>
        <v>534000</v>
      </c>
      <c r="H111" s="49">
        <f>SUM(H112:H117)</f>
        <v>0</v>
      </c>
      <c r="I111" s="49">
        <f>SUM(I112:I117)</f>
        <v>0</v>
      </c>
      <c r="J111" s="49">
        <f t="shared" si="5"/>
        <v>0</v>
      </c>
      <c r="K111" s="49">
        <f t="shared" si="2"/>
        <v>534000</v>
      </c>
      <c r="L111" s="49">
        <f>SUM(L112:L117)</f>
        <v>0</v>
      </c>
      <c r="M111" s="136"/>
    </row>
    <row r="112" spans="1:13" ht="12.75" customHeight="1">
      <c r="A112" s="167" t="s">
        <v>290</v>
      </c>
      <c r="B112" s="98">
        <v>292000</v>
      </c>
      <c r="C112" s="98">
        <v>292000</v>
      </c>
      <c r="D112" s="110">
        <v>0</v>
      </c>
      <c r="E112" s="110">
        <v>0</v>
      </c>
      <c r="F112" s="52">
        <f t="shared" si="4"/>
        <v>0</v>
      </c>
      <c r="G112" s="52">
        <f t="shared" si="1"/>
        <v>292000</v>
      </c>
      <c r="H112" s="110">
        <v>0</v>
      </c>
      <c r="I112" s="110">
        <v>0</v>
      </c>
      <c r="J112" s="52">
        <f t="shared" si="5"/>
        <v>0</v>
      </c>
      <c r="K112" s="169">
        <f t="shared" si="2"/>
        <v>292000</v>
      </c>
      <c r="L112" s="110">
        <v>0</v>
      </c>
      <c r="M112" s="136"/>
    </row>
    <row r="113" spans="1:13" ht="12.75" customHeight="1">
      <c r="A113" s="167" t="s">
        <v>291</v>
      </c>
      <c r="B113" s="110">
        <v>242000</v>
      </c>
      <c r="C113" s="110">
        <v>242000</v>
      </c>
      <c r="D113" s="110">
        <v>0</v>
      </c>
      <c r="E113" s="110">
        <v>0</v>
      </c>
      <c r="F113" s="52">
        <f t="shared" si="4"/>
        <v>0</v>
      </c>
      <c r="G113" s="52">
        <f t="shared" si="1"/>
        <v>242000</v>
      </c>
      <c r="H113" s="110">
        <v>0</v>
      </c>
      <c r="I113" s="110">
        <v>0</v>
      </c>
      <c r="J113" s="52">
        <f t="shared" si="5"/>
        <v>0</v>
      </c>
      <c r="K113" s="169">
        <f t="shared" si="2"/>
        <v>242000</v>
      </c>
      <c r="L113" s="110">
        <v>0</v>
      </c>
      <c r="M113" s="136"/>
    </row>
    <row r="114" spans="1:13" ht="12.75" customHeight="1">
      <c r="A114" s="167" t="s">
        <v>292</v>
      </c>
      <c r="B114" s="110">
        <v>0</v>
      </c>
      <c r="C114" s="110">
        <v>0</v>
      </c>
      <c r="D114" s="110">
        <v>0</v>
      </c>
      <c r="E114" s="110">
        <v>0</v>
      </c>
      <c r="F114" s="52">
        <f t="shared" si="4"/>
        <v>0</v>
      </c>
      <c r="G114" s="52">
        <f t="shared" si="1"/>
        <v>0</v>
      </c>
      <c r="H114" s="110">
        <v>0</v>
      </c>
      <c r="I114" s="110">
        <v>0</v>
      </c>
      <c r="J114" s="52">
        <f t="shared" si="5"/>
        <v>0</v>
      </c>
      <c r="K114" s="169">
        <f t="shared" si="2"/>
        <v>0</v>
      </c>
      <c r="L114" s="110">
        <v>0</v>
      </c>
      <c r="M114" s="136"/>
    </row>
    <row r="115" spans="1:13" ht="12.75" customHeight="1">
      <c r="A115" s="167" t="s">
        <v>293</v>
      </c>
      <c r="B115" s="110">
        <v>0</v>
      </c>
      <c r="C115" s="110">
        <v>0</v>
      </c>
      <c r="D115" s="110">
        <v>0</v>
      </c>
      <c r="E115" s="110">
        <v>0</v>
      </c>
      <c r="F115" s="52">
        <f t="shared" si="4"/>
        <v>0</v>
      </c>
      <c r="G115" s="52">
        <f t="shared" si="1"/>
        <v>0</v>
      </c>
      <c r="H115" s="110">
        <v>0</v>
      </c>
      <c r="I115" s="110">
        <v>0</v>
      </c>
      <c r="J115" s="52">
        <f t="shared" si="5"/>
        <v>0</v>
      </c>
      <c r="K115" s="169">
        <f t="shared" si="2"/>
        <v>0</v>
      </c>
      <c r="L115" s="110">
        <v>0</v>
      </c>
      <c r="M115" s="136"/>
    </row>
    <row r="116" spans="1:13" ht="12.75" customHeight="1">
      <c r="A116" s="167" t="s">
        <v>294</v>
      </c>
      <c r="B116" s="110">
        <v>0</v>
      </c>
      <c r="C116" s="110">
        <v>0</v>
      </c>
      <c r="D116" s="110">
        <v>0</v>
      </c>
      <c r="E116" s="110">
        <v>0</v>
      </c>
      <c r="F116" s="52">
        <f t="shared" si="4"/>
        <v>0</v>
      </c>
      <c r="G116" s="52">
        <f t="shared" si="1"/>
        <v>0</v>
      </c>
      <c r="H116" s="110">
        <v>0</v>
      </c>
      <c r="I116" s="110">
        <v>0</v>
      </c>
      <c r="J116" s="52">
        <f t="shared" si="5"/>
        <v>0</v>
      </c>
      <c r="K116" s="169">
        <f t="shared" si="2"/>
        <v>0</v>
      </c>
      <c r="L116" s="110">
        <v>0</v>
      </c>
      <c r="M116" s="136"/>
    </row>
    <row r="117" spans="1:13" ht="12.75" customHeight="1">
      <c r="A117" s="167" t="s">
        <v>211</v>
      </c>
      <c r="B117" s="110">
        <v>0</v>
      </c>
      <c r="C117" s="110">
        <v>0</v>
      </c>
      <c r="D117" s="110">
        <v>0</v>
      </c>
      <c r="E117" s="110">
        <v>0</v>
      </c>
      <c r="F117" s="52">
        <f t="shared" si="4"/>
        <v>0</v>
      </c>
      <c r="G117" s="52">
        <f t="shared" si="1"/>
        <v>0</v>
      </c>
      <c r="H117" s="110">
        <v>0</v>
      </c>
      <c r="I117" s="110">
        <v>0</v>
      </c>
      <c r="J117" s="52">
        <f t="shared" si="5"/>
        <v>0</v>
      </c>
      <c r="K117" s="169">
        <f t="shared" si="2"/>
        <v>0</v>
      </c>
      <c r="L117" s="110">
        <v>0</v>
      </c>
      <c r="M117" s="136"/>
    </row>
    <row r="118" spans="1:13" ht="12.75" customHeight="1">
      <c r="A118" s="166" t="s">
        <v>295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6"/>
    </row>
    <row r="119" spans="1:13" ht="12.75" customHeight="1">
      <c r="A119" s="167" t="s">
        <v>296</v>
      </c>
      <c r="B119" s="110">
        <v>0</v>
      </c>
      <c r="C119" s="110">
        <v>0</v>
      </c>
      <c r="D119" s="110">
        <v>0</v>
      </c>
      <c r="E119" s="110">
        <v>0</v>
      </c>
      <c r="F119" s="52">
        <f t="shared" si="4"/>
        <v>0</v>
      </c>
      <c r="G119" s="52">
        <f t="shared" si="1"/>
        <v>0</v>
      </c>
      <c r="H119" s="110">
        <v>0</v>
      </c>
      <c r="I119" s="110">
        <v>0</v>
      </c>
      <c r="J119" s="52">
        <f t="shared" si="5"/>
        <v>0</v>
      </c>
      <c r="K119" s="169">
        <f t="shared" si="2"/>
        <v>0</v>
      </c>
      <c r="L119" s="110">
        <v>0</v>
      </c>
      <c r="M119" s="136"/>
    </row>
    <row r="120" spans="1:13" ht="12.75" customHeight="1">
      <c r="A120" s="167" t="s">
        <v>297</v>
      </c>
      <c r="B120" s="110">
        <v>0</v>
      </c>
      <c r="C120" s="110">
        <v>0</v>
      </c>
      <c r="D120" s="110">
        <v>0</v>
      </c>
      <c r="E120" s="110">
        <v>0</v>
      </c>
      <c r="F120" s="52">
        <f t="shared" si="4"/>
        <v>0</v>
      </c>
      <c r="G120" s="52">
        <f t="shared" si="1"/>
        <v>0</v>
      </c>
      <c r="H120" s="110">
        <v>0</v>
      </c>
      <c r="I120" s="110">
        <v>0</v>
      </c>
      <c r="J120" s="52">
        <f t="shared" si="5"/>
        <v>0</v>
      </c>
      <c r="K120" s="169">
        <f t="shared" si="2"/>
        <v>0</v>
      </c>
      <c r="L120" s="110">
        <v>0</v>
      </c>
      <c r="M120" s="136"/>
    </row>
    <row r="121" spans="1:13" ht="12.75" customHeight="1">
      <c r="A121" s="167" t="s">
        <v>298</v>
      </c>
      <c r="B121" s="110">
        <v>0</v>
      </c>
      <c r="C121" s="110">
        <v>0</v>
      </c>
      <c r="D121" s="110">
        <v>0</v>
      </c>
      <c r="E121" s="110">
        <v>0</v>
      </c>
      <c r="F121" s="52">
        <f t="shared" si="4"/>
        <v>0</v>
      </c>
      <c r="G121" s="52">
        <f t="shared" si="1"/>
        <v>0</v>
      </c>
      <c r="H121" s="110">
        <v>0</v>
      </c>
      <c r="I121" s="110">
        <v>0</v>
      </c>
      <c r="J121" s="52">
        <f t="shared" si="5"/>
        <v>0</v>
      </c>
      <c r="K121" s="169">
        <f t="shared" si="2"/>
        <v>0</v>
      </c>
      <c r="L121" s="110">
        <v>0</v>
      </c>
      <c r="M121" s="136"/>
    </row>
    <row r="122" spans="1:13" ht="12.75" customHeight="1">
      <c r="A122" s="167" t="s">
        <v>211</v>
      </c>
      <c r="B122" s="110">
        <v>0</v>
      </c>
      <c r="C122" s="110">
        <v>0</v>
      </c>
      <c r="D122" s="110">
        <v>0</v>
      </c>
      <c r="E122" s="110">
        <v>0</v>
      </c>
      <c r="F122" s="52">
        <f t="shared" si="4"/>
        <v>0</v>
      </c>
      <c r="G122" s="52">
        <f t="shared" si="1"/>
        <v>0</v>
      </c>
      <c r="H122" s="110">
        <v>0</v>
      </c>
      <c r="I122" s="110">
        <v>0</v>
      </c>
      <c r="J122" s="52">
        <f t="shared" si="5"/>
        <v>0</v>
      </c>
      <c r="K122" s="169">
        <f t="shared" si="2"/>
        <v>0</v>
      </c>
      <c r="L122" s="110">
        <v>0</v>
      </c>
      <c r="M122" s="136"/>
    </row>
    <row r="123" spans="1:13" ht="12.75" customHeight="1">
      <c r="A123" s="166" t="s">
        <v>299</v>
      </c>
      <c r="B123" s="49">
        <f>SUM(B124:B129)</f>
        <v>1176000</v>
      </c>
      <c r="C123" s="49">
        <f>SUM(C124:C129)</f>
        <v>1176000</v>
      </c>
      <c r="D123" s="49">
        <f>SUM(D124:D129)</f>
        <v>30289.92</v>
      </c>
      <c r="E123" s="49">
        <f>SUM(E124:E129)</f>
        <v>89759.81</v>
      </c>
      <c r="F123" s="49">
        <f t="shared" si="4"/>
        <v>0.007598669327962883</v>
      </c>
      <c r="G123" s="49">
        <f t="shared" si="1"/>
        <v>1086240.19</v>
      </c>
      <c r="H123" s="49">
        <f>SUM(H124:H129)</f>
        <v>30289.92</v>
      </c>
      <c r="I123" s="49">
        <f>SUM(I124:I129)</f>
        <v>89759.81</v>
      </c>
      <c r="J123" s="49">
        <f t="shared" si="5"/>
        <v>0</v>
      </c>
      <c r="K123" s="49">
        <f t="shared" si="2"/>
        <v>1086240.19</v>
      </c>
      <c r="L123" s="49">
        <f>SUM(L124:L129)</f>
        <v>0</v>
      </c>
      <c r="M123" s="136"/>
    </row>
    <row r="124" spans="1:13" ht="12.75" customHeight="1">
      <c r="A124" s="167" t="s">
        <v>300</v>
      </c>
      <c r="B124" s="110">
        <v>627000</v>
      </c>
      <c r="C124" s="110">
        <v>627000</v>
      </c>
      <c r="D124" s="110">
        <v>0</v>
      </c>
      <c r="E124" s="110">
        <v>0</v>
      </c>
      <c r="F124" s="52">
        <f t="shared" si="4"/>
        <v>0</v>
      </c>
      <c r="G124" s="52">
        <f t="shared" si="1"/>
        <v>627000</v>
      </c>
      <c r="H124" s="110">
        <v>0</v>
      </c>
      <c r="I124" s="110">
        <v>0</v>
      </c>
      <c r="J124" s="52">
        <f aca="true" t="shared" si="6" ref="J124:J129">IF(I293="",0,IF(I293=0,0,I124/I$181))</f>
        <v>0</v>
      </c>
      <c r="K124" s="169">
        <f t="shared" si="2"/>
        <v>627000</v>
      </c>
      <c r="L124" s="110">
        <v>0</v>
      </c>
      <c r="M124" s="136"/>
    </row>
    <row r="125" spans="1:13" ht="12.75" customHeight="1">
      <c r="A125" s="167" t="s">
        <v>301</v>
      </c>
      <c r="B125" s="110">
        <v>252000</v>
      </c>
      <c r="C125" s="110">
        <v>252000</v>
      </c>
      <c r="D125" s="110">
        <v>0</v>
      </c>
      <c r="E125" s="110">
        <v>0</v>
      </c>
      <c r="F125" s="52">
        <f t="shared" si="4"/>
        <v>0</v>
      </c>
      <c r="G125" s="52">
        <f t="shared" si="1"/>
        <v>252000</v>
      </c>
      <c r="H125" s="110">
        <v>0</v>
      </c>
      <c r="I125" s="110">
        <v>0</v>
      </c>
      <c r="J125" s="52">
        <f t="shared" si="6"/>
        <v>0</v>
      </c>
      <c r="K125" s="169">
        <f t="shared" si="2"/>
        <v>252000</v>
      </c>
      <c r="L125" s="110">
        <v>0</v>
      </c>
      <c r="M125" s="136"/>
    </row>
    <row r="126" spans="1:13" ht="12.75" customHeight="1">
      <c r="A126" s="167" t="s">
        <v>302</v>
      </c>
      <c r="B126" s="110">
        <v>0</v>
      </c>
      <c r="C126" s="110">
        <v>0</v>
      </c>
      <c r="D126" s="110">
        <v>0</v>
      </c>
      <c r="E126" s="110">
        <v>0</v>
      </c>
      <c r="F126" s="52">
        <f t="shared" si="4"/>
        <v>0</v>
      </c>
      <c r="G126" s="52">
        <f t="shared" si="1"/>
        <v>0</v>
      </c>
      <c r="H126" s="110">
        <v>0</v>
      </c>
      <c r="I126" s="110">
        <v>0</v>
      </c>
      <c r="J126" s="52">
        <f t="shared" si="6"/>
        <v>0</v>
      </c>
      <c r="K126" s="169">
        <f t="shared" si="2"/>
        <v>0</v>
      </c>
      <c r="L126" s="110">
        <v>0</v>
      </c>
      <c r="M126" s="136"/>
    </row>
    <row r="127" spans="1:13" ht="12.75" customHeight="1">
      <c r="A127" s="167" t="s">
        <v>303</v>
      </c>
      <c r="B127" s="110">
        <v>0</v>
      </c>
      <c r="C127" s="110">
        <v>0</v>
      </c>
      <c r="D127" s="110">
        <v>0</v>
      </c>
      <c r="E127" s="110">
        <v>0</v>
      </c>
      <c r="F127" s="52">
        <f t="shared" si="4"/>
        <v>0</v>
      </c>
      <c r="G127" s="52">
        <f t="shared" si="1"/>
        <v>0</v>
      </c>
      <c r="H127" s="110">
        <v>0</v>
      </c>
      <c r="I127" s="110">
        <v>0</v>
      </c>
      <c r="J127" s="52">
        <f t="shared" si="6"/>
        <v>0</v>
      </c>
      <c r="K127" s="169">
        <f t="shared" si="2"/>
        <v>0</v>
      </c>
      <c r="L127" s="110">
        <v>0</v>
      </c>
      <c r="M127" s="136"/>
    </row>
    <row r="128" spans="1:13" ht="12.75" customHeight="1">
      <c r="A128" s="167" t="s">
        <v>304</v>
      </c>
      <c r="B128" s="110">
        <v>0</v>
      </c>
      <c r="C128" s="110">
        <v>0</v>
      </c>
      <c r="D128" s="110">
        <v>0</v>
      </c>
      <c r="E128" s="110">
        <v>0</v>
      </c>
      <c r="F128" s="52">
        <f t="shared" si="4"/>
        <v>0</v>
      </c>
      <c r="G128" s="52">
        <f t="shared" si="1"/>
        <v>0</v>
      </c>
      <c r="H128" s="110">
        <v>0</v>
      </c>
      <c r="I128" s="110">
        <v>0</v>
      </c>
      <c r="J128" s="52">
        <f t="shared" si="6"/>
        <v>0</v>
      </c>
      <c r="K128" s="169">
        <f t="shared" si="2"/>
        <v>0</v>
      </c>
      <c r="L128" s="110">
        <v>0</v>
      </c>
      <c r="M128" s="136"/>
    </row>
    <row r="129" spans="1:13" ht="12.75" customHeight="1">
      <c r="A129" s="167" t="s">
        <v>211</v>
      </c>
      <c r="B129" s="98">
        <v>297000</v>
      </c>
      <c r="C129" s="98">
        <v>297000</v>
      </c>
      <c r="D129" s="98">
        <v>30289.92</v>
      </c>
      <c r="E129" s="98">
        <v>89759.81</v>
      </c>
      <c r="F129" s="52">
        <f t="shared" si="4"/>
        <v>0.007598669327962883</v>
      </c>
      <c r="G129" s="52">
        <f t="shared" si="1"/>
        <v>207240.19</v>
      </c>
      <c r="H129" s="98">
        <v>30289.92</v>
      </c>
      <c r="I129" s="98">
        <v>89759.81</v>
      </c>
      <c r="J129" s="52">
        <f t="shared" si="6"/>
        <v>0</v>
      </c>
      <c r="K129" s="169">
        <f t="shared" si="2"/>
        <v>207240.19</v>
      </c>
      <c r="L129" s="110">
        <v>0</v>
      </c>
      <c r="M129" s="136"/>
    </row>
    <row r="130" spans="1:13" ht="12.75" customHeight="1">
      <c r="A130" s="166" t="s">
        <v>305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6"/>
    </row>
    <row r="131" spans="1:13" ht="12.75" customHeight="1">
      <c r="A131" s="167" t="s">
        <v>306</v>
      </c>
      <c r="B131" s="110">
        <v>0</v>
      </c>
      <c r="C131" s="110">
        <v>0</v>
      </c>
      <c r="D131" s="110">
        <v>0</v>
      </c>
      <c r="E131" s="110">
        <v>0</v>
      </c>
      <c r="F131" s="52">
        <f t="shared" si="4"/>
        <v>0</v>
      </c>
      <c r="G131" s="52">
        <f t="shared" si="1"/>
        <v>0</v>
      </c>
      <c r="H131" s="110">
        <v>0</v>
      </c>
      <c r="I131" s="110">
        <v>0</v>
      </c>
      <c r="J131" s="52">
        <f t="shared" si="7"/>
        <v>0</v>
      </c>
      <c r="K131" s="169">
        <f t="shared" si="2"/>
        <v>0</v>
      </c>
      <c r="L131" s="110">
        <v>0</v>
      </c>
      <c r="M131" s="136"/>
    </row>
    <row r="132" spans="1:13" ht="12.75" customHeight="1">
      <c r="A132" s="167" t="s">
        <v>307</v>
      </c>
      <c r="B132" s="110">
        <v>0</v>
      </c>
      <c r="C132" s="110">
        <v>0</v>
      </c>
      <c r="D132" s="110">
        <v>0</v>
      </c>
      <c r="E132" s="110">
        <v>0</v>
      </c>
      <c r="F132" s="52">
        <f t="shared" si="4"/>
        <v>0</v>
      </c>
      <c r="G132" s="52">
        <f t="shared" si="1"/>
        <v>0</v>
      </c>
      <c r="H132" s="110">
        <v>0</v>
      </c>
      <c r="I132" s="110">
        <v>0</v>
      </c>
      <c r="J132" s="52">
        <f t="shared" si="7"/>
        <v>0</v>
      </c>
      <c r="K132" s="169">
        <f t="shared" si="2"/>
        <v>0</v>
      </c>
      <c r="L132" s="110">
        <v>0</v>
      </c>
      <c r="M132" s="136"/>
    </row>
    <row r="133" spans="1:13" ht="12.75" customHeight="1">
      <c r="A133" s="166" t="s">
        <v>308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6"/>
    </row>
    <row r="134" spans="1:13" ht="12.75" customHeight="1">
      <c r="A134" s="167" t="s">
        <v>309</v>
      </c>
      <c r="B134" s="110">
        <v>0</v>
      </c>
      <c r="C134" s="110">
        <v>0</v>
      </c>
      <c r="D134" s="110">
        <v>0</v>
      </c>
      <c r="E134" s="110">
        <v>0</v>
      </c>
      <c r="F134" s="52">
        <f t="shared" si="4"/>
        <v>0</v>
      </c>
      <c r="G134" s="52">
        <f t="shared" si="1"/>
        <v>0</v>
      </c>
      <c r="H134" s="110">
        <v>0</v>
      </c>
      <c r="I134" s="110">
        <v>0</v>
      </c>
      <c r="J134" s="52">
        <f t="shared" si="7"/>
        <v>0</v>
      </c>
      <c r="K134" s="169">
        <f t="shared" si="2"/>
        <v>0</v>
      </c>
      <c r="L134" s="110">
        <v>0</v>
      </c>
      <c r="M134" s="136"/>
    </row>
    <row r="135" spans="1:13" ht="12.75" customHeight="1">
      <c r="A135" s="167" t="s">
        <v>310</v>
      </c>
      <c r="B135" s="110">
        <v>0</v>
      </c>
      <c r="C135" s="110">
        <v>0</v>
      </c>
      <c r="D135" s="110">
        <v>0</v>
      </c>
      <c r="E135" s="110">
        <v>0</v>
      </c>
      <c r="F135" s="52">
        <f t="shared" si="4"/>
        <v>0</v>
      </c>
      <c r="G135" s="52">
        <f t="shared" si="1"/>
        <v>0</v>
      </c>
      <c r="H135" s="110">
        <v>0</v>
      </c>
      <c r="I135" s="110">
        <v>0</v>
      </c>
      <c r="J135" s="52">
        <f t="shared" si="7"/>
        <v>0</v>
      </c>
      <c r="K135" s="169">
        <f t="shared" si="2"/>
        <v>0</v>
      </c>
      <c r="L135" s="110">
        <v>0</v>
      </c>
      <c r="M135" s="136"/>
    </row>
    <row r="136" spans="1:13" ht="12.75" customHeight="1">
      <c r="A136" s="167" t="s">
        <v>311</v>
      </c>
      <c r="B136" s="110">
        <v>0</v>
      </c>
      <c r="C136" s="110">
        <v>0</v>
      </c>
      <c r="D136" s="110">
        <v>0</v>
      </c>
      <c r="E136" s="110">
        <v>0</v>
      </c>
      <c r="F136" s="52">
        <f t="shared" si="4"/>
        <v>0</v>
      </c>
      <c r="G136" s="52">
        <f t="shared" si="1"/>
        <v>0</v>
      </c>
      <c r="H136" s="110">
        <v>0</v>
      </c>
      <c r="I136" s="110">
        <v>0</v>
      </c>
      <c r="J136" s="52">
        <f t="shared" si="7"/>
        <v>0</v>
      </c>
      <c r="K136" s="169">
        <f t="shared" si="2"/>
        <v>0</v>
      </c>
      <c r="L136" s="110">
        <v>0</v>
      </c>
      <c r="M136" s="136"/>
    </row>
    <row r="137" spans="1:13" ht="12.75" customHeight="1">
      <c r="A137" s="167" t="s">
        <v>312</v>
      </c>
      <c r="B137" s="110">
        <v>0</v>
      </c>
      <c r="C137" s="110">
        <v>0</v>
      </c>
      <c r="D137" s="110">
        <v>0</v>
      </c>
      <c r="E137" s="110">
        <v>0</v>
      </c>
      <c r="F137" s="52">
        <f t="shared" si="4"/>
        <v>0</v>
      </c>
      <c r="G137" s="52">
        <f t="shared" si="1"/>
        <v>0</v>
      </c>
      <c r="H137" s="110">
        <v>0</v>
      </c>
      <c r="I137" s="110">
        <v>0</v>
      </c>
      <c r="J137" s="52">
        <f t="shared" si="7"/>
        <v>0</v>
      </c>
      <c r="K137" s="169">
        <f t="shared" si="2"/>
        <v>0</v>
      </c>
      <c r="L137" s="110">
        <v>0</v>
      </c>
      <c r="M137" s="136"/>
    </row>
    <row r="138" spans="1:13" ht="12.75" customHeight="1">
      <c r="A138" s="167" t="s">
        <v>313</v>
      </c>
      <c r="B138" s="110">
        <v>0</v>
      </c>
      <c r="C138" s="110">
        <v>0</v>
      </c>
      <c r="D138" s="110">
        <v>0</v>
      </c>
      <c r="E138" s="110">
        <v>0</v>
      </c>
      <c r="F138" s="52">
        <f t="shared" si="4"/>
        <v>0</v>
      </c>
      <c r="G138" s="52">
        <f t="shared" si="1"/>
        <v>0</v>
      </c>
      <c r="H138" s="110">
        <v>0</v>
      </c>
      <c r="I138" s="110">
        <v>0</v>
      </c>
      <c r="J138" s="52">
        <f t="shared" si="7"/>
        <v>0</v>
      </c>
      <c r="K138" s="169">
        <f t="shared" si="2"/>
        <v>0</v>
      </c>
      <c r="L138" s="110">
        <v>0</v>
      </c>
      <c r="M138" s="136"/>
    </row>
    <row r="139" spans="1:13" ht="12.75" customHeight="1">
      <c r="A139" s="167" t="s">
        <v>211</v>
      </c>
      <c r="B139" s="110">
        <v>0</v>
      </c>
      <c r="C139" s="110">
        <v>0</v>
      </c>
      <c r="D139" s="110">
        <v>0</v>
      </c>
      <c r="E139" s="110">
        <v>0</v>
      </c>
      <c r="F139" s="52">
        <f t="shared" si="4"/>
        <v>0</v>
      </c>
      <c r="G139" s="52">
        <f t="shared" si="1"/>
        <v>0</v>
      </c>
      <c r="H139" s="110">
        <v>0</v>
      </c>
      <c r="I139" s="110">
        <v>0</v>
      </c>
      <c r="J139" s="52">
        <f t="shared" si="7"/>
        <v>0</v>
      </c>
      <c r="K139" s="169">
        <f t="shared" si="2"/>
        <v>0</v>
      </c>
      <c r="L139" s="110">
        <v>0</v>
      </c>
      <c r="M139" s="136"/>
    </row>
    <row r="140" spans="1:13" ht="12.75" customHeight="1">
      <c r="A140" s="166" t="s">
        <v>314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6"/>
    </row>
    <row r="141" spans="1:13" ht="12.75" customHeight="1">
      <c r="A141" s="167" t="s">
        <v>315</v>
      </c>
      <c r="B141" s="110">
        <v>0</v>
      </c>
      <c r="C141" s="110">
        <v>0</v>
      </c>
      <c r="D141" s="110">
        <v>0</v>
      </c>
      <c r="E141" s="110">
        <v>0</v>
      </c>
      <c r="F141" s="52">
        <f t="shared" si="4"/>
        <v>0</v>
      </c>
      <c r="G141" s="52">
        <f t="shared" si="1"/>
        <v>0</v>
      </c>
      <c r="H141" s="110">
        <v>0</v>
      </c>
      <c r="I141" s="110">
        <v>0</v>
      </c>
      <c r="J141" s="52">
        <f t="shared" si="7"/>
        <v>0</v>
      </c>
      <c r="K141" s="169">
        <f t="shared" si="2"/>
        <v>0</v>
      </c>
      <c r="L141" s="110">
        <v>0</v>
      </c>
      <c r="M141" s="136"/>
    </row>
    <row r="142" spans="1:13" ht="12.75" customHeight="1">
      <c r="A142" s="167" t="s">
        <v>316</v>
      </c>
      <c r="B142" s="110">
        <v>0</v>
      </c>
      <c r="C142" s="110">
        <v>0</v>
      </c>
      <c r="D142" s="110">
        <v>0</v>
      </c>
      <c r="E142" s="110">
        <v>0</v>
      </c>
      <c r="F142" s="52">
        <f t="shared" si="4"/>
        <v>0</v>
      </c>
      <c r="G142" s="52">
        <f t="shared" si="1"/>
        <v>0</v>
      </c>
      <c r="H142" s="110">
        <v>0</v>
      </c>
      <c r="I142" s="110">
        <v>0</v>
      </c>
      <c r="J142" s="52">
        <f t="shared" si="7"/>
        <v>0</v>
      </c>
      <c r="K142" s="169">
        <f t="shared" si="2"/>
        <v>0</v>
      </c>
      <c r="L142" s="110">
        <v>0</v>
      </c>
      <c r="M142" s="136"/>
    </row>
    <row r="143" spans="1:13" ht="12.75" customHeight="1">
      <c r="A143" s="167" t="s">
        <v>317</v>
      </c>
      <c r="B143" s="110">
        <v>0</v>
      </c>
      <c r="C143" s="110">
        <v>0</v>
      </c>
      <c r="D143" s="110">
        <v>0</v>
      </c>
      <c r="E143" s="110">
        <v>0</v>
      </c>
      <c r="F143" s="52">
        <f t="shared" si="4"/>
        <v>0</v>
      </c>
      <c r="G143" s="52">
        <f t="shared" si="1"/>
        <v>0</v>
      </c>
      <c r="H143" s="110">
        <v>0</v>
      </c>
      <c r="I143" s="110">
        <v>0</v>
      </c>
      <c r="J143" s="52">
        <f t="shared" si="7"/>
        <v>0</v>
      </c>
      <c r="K143" s="169">
        <f t="shared" si="2"/>
        <v>0</v>
      </c>
      <c r="L143" s="110">
        <v>0</v>
      </c>
      <c r="M143" s="136"/>
    </row>
    <row r="144" spans="1:13" ht="12.75" customHeight="1">
      <c r="A144" s="167" t="s">
        <v>318</v>
      </c>
      <c r="B144" s="110">
        <v>0</v>
      </c>
      <c r="C144" s="110">
        <v>0</v>
      </c>
      <c r="D144" s="110">
        <v>0</v>
      </c>
      <c r="E144" s="110">
        <v>0</v>
      </c>
      <c r="F144" s="52">
        <f t="shared" si="4"/>
        <v>0</v>
      </c>
      <c r="G144" s="52">
        <f t="shared" si="1"/>
        <v>0</v>
      </c>
      <c r="H144" s="110">
        <v>0</v>
      </c>
      <c r="I144" s="110">
        <v>0</v>
      </c>
      <c r="J144" s="52">
        <f t="shared" si="7"/>
        <v>0</v>
      </c>
      <c r="K144" s="169">
        <f t="shared" si="2"/>
        <v>0</v>
      </c>
      <c r="L144" s="110">
        <v>0</v>
      </c>
      <c r="M144" s="136"/>
    </row>
    <row r="145" spans="1:13" ht="12.75" customHeight="1">
      <c r="A145" s="167" t="s">
        <v>319</v>
      </c>
      <c r="B145" s="98">
        <v>0</v>
      </c>
      <c r="C145" s="98">
        <v>0</v>
      </c>
      <c r="D145" s="98">
        <v>0</v>
      </c>
      <c r="E145" s="98">
        <v>0</v>
      </c>
      <c r="F145" s="52">
        <f t="shared" si="4"/>
        <v>0</v>
      </c>
      <c r="G145" s="52">
        <f t="shared" si="1"/>
        <v>0</v>
      </c>
      <c r="H145" s="110">
        <v>0</v>
      </c>
      <c r="I145" s="110">
        <v>0</v>
      </c>
      <c r="J145" s="52">
        <f t="shared" si="7"/>
        <v>0</v>
      </c>
      <c r="K145" s="169">
        <f t="shared" si="2"/>
        <v>0</v>
      </c>
      <c r="L145" s="110">
        <v>0</v>
      </c>
      <c r="M145" s="136"/>
    </row>
    <row r="146" spans="1:13" ht="12.75" customHeight="1">
      <c r="A146" s="167" t="s">
        <v>211</v>
      </c>
      <c r="B146" s="110">
        <v>0</v>
      </c>
      <c r="C146" s="110">
        <v>0</v>
      </c>
      <c r="D146" s="110">
        <v>0</v>
      </c>
      <c r="E146" s="110">
        <v>0</v>
      </c>
      <c r="F146" s="52">
        <f t="shared" si="4"/>
        <v>0</v>
      </c>
      <c r="G146" s="52">
        <f t="shared" si="1"/>
        <v>0</v>
      </c>
      <c r="H146" s="110">
        <v>0</v>
      </c>
      <c r="I146" s="110">
        <v>0</v>
      </c>
      <c r="J146" s="52">
        <f t="shared" si="7"/>
        <v>0</v>
      </c>
      <c r="K146" s="169">
        <f t="shared" si="2"/>
        <v>0</v>
      </c>
      <c r="L146" s="110">
        <v>0</v>
      </c>
      <c r="M146" s="136"/>
    </row>
    <row r="147" spans="1:13" ht="12.75" customHeight="1">
      <c r="A147" s="166" t="s">
        <v>320</v>
      </c>
      <c r="B147" s="49">
        <f>SUM(B148:B150)</f>
        <v>0</v>
      </c>
      <c r="C147" s="49">
        <f>SUM(C148:C150)</f>
        <v>0</v>
      </c>
      <c r="D147" s="49">
        <f>SUM(D148:D150)</f>
        <v>0</v>
      </c>
      <c r="E147" s="49">
        <f>SUM(E148:E150)</f>
        <v>0</v>
      </c>
      <c r="F147" s="49">
        <f t="shared" si="4"/>
        <v>0</v>
      </c>
      <c r="G147" s="49">
        <f t="shared" si="1"/>
        <v>0</v>
      </c>
      <c r="H147" s="49">
        <f>SUM(H148:H150)</f>
        <v>0</v>
      </c>
      <c r="I147" s="49">
        <f>SUM(I148:I150)</f>
        <v>0</v>
      </c>
      <c r="J147" s="49">
        <f t="shared" si="7"/>
        <v>0</v>
      </c>
      <c r="K147" s="49">
        <f t="shared" si="2"/>
        <v>0</v>
      </c>
      <c r="L147" s="49">
        <f>SUM(L148:L150)</f>
        <v>0</v>
      </c>
      <c r="M147" s="136"/>
    </row>
    <row r="148" spans="1:13" ht="12.75" customHeight="1">
      <c r="A148" s="167" t="s">
        <v>321</v>
      </c>
      <c r="B148" s="110">
        <v>0</v>
      </c>
      <c r="C148" s="110">
        <v>0</v>
      </c>
      <c r="D148" s="110">
        <v>0</v>
      </c>
      <c r="E148" s="110">
        <v>0</v>
      </c>
      <c r="F148" s="52">
        <f t="shared" si="4"/>
        <v>0</v>
      </c>
      <c r="G148" s="52">
        <f t="shared" si="1"/>
        <v>0</v>
      </c>
      <c r="H148" s="110">
        <v>0</v>
      </c>
      <c r="I148" s="110">
        <v>0</v>
      </c>
      <c r="J148" s="52">
        <f t="shared" si="7"/>
        <v>0</v>
      </c>
      <c r="K148" s="169">
        <f t="shared" si="2"/>
        <v>0</v>
      </c>
      <c r="L148" s="110">
        <v>0</v>
      </c>
      <c r="M148" s="136"/>
    </row>
    <row r="149" spans="1:13" ht="12.75" customHeight="1">
      <c r="A149" s="167" t="s">
        <v>322</v>
      </c>
      <c r="B149" s="110">
        <v>0</v>
      </c>
      <c r="C149" s="110">
        <v>0</v>
      </c>
      <c r="D149" s="110">
        <v>0</v>
      </c>
      <c r="E149" s="110">
        <v>0</v>
      </c>
      <c r="F149" s="52">
        <f t="shared" si="4"/>
        <v>0</v>
      </c>
      <c r="G149" s="52">
        <f t="shared" si="1"/>
        <v>0</v>
      </c>
      <c r="H149" s="110">
        <v>0</v>
      </c>
      <c r="I149" s="110">
        <v>0</v>
      </c>
      <c r="J149" s="52">
        <f t="shared" si="7"/>
        <v>0</v>
      </c>
      <c r="K149" s="169">
        <f t="shared" si="2"/>
        <v>0</v>
      </c>
      <c r="L149" s="110">
        <v>0</v>
      </c>
      <c r="M149" s="136"/>
    </row>
    <row r="150" spans="1:13" ht="12.75" customHeight="1">
      <c r="A150" s="167" t="s">
        <v>211</v>
      </c>
      <c r="B150" s="98">
        <v>0</v>
      </c>
      <c r="C150" s="98">
        <v>0</v>
      </c>
      <c r="D150" s="98">
        <v>0</v>
      </c>
      <c r="E150" s="98">
        <v>0</v>
      </c>
      <c r="F150" s="52">
        <f t="shared" si="4"/>
        <v>0</v>
      </c>
      <c r="G150" s="52">
        <f t="shared" si="1"/>
        <v>0</v>
      </c>
      <c r="H150" s="110">
        <v>0</v>
      </c>
      <c r="I150" s="110">
        <v>0</v>
      </c>
      <c r="J150" s="52">
        <f t="shared" si="7"/>
        <v>0</v>
      </c>
      <c r="K150" s="169">
        <f t="shared" si="2"/>
        <v>0</v>
      </c>
      <c r="L150" s="110">
        <v>0</v>
      </c>
      <c r="M150" s="136"/>
    </row>
    <row r="151" spans="1:13" ht="12.75" customHeight="1">
      <c r="A151" s="166" t="s">
        <v>323</v>
      </c>
      <c r="B151" s="49">
        <f>SUM(B152:B156)</f>
        <v>178000</v>
      </c>
      <c r="C151" s="49">
        <f>SUM(C152:C156)</f>
        <v>178000</v>
      </c>
      <c r="D151" s="49">
        <f>SUM(D152:D156)</f>
        <v>0</v>
      </c>
      <c r="E151" s="49">
        <f>SUM(E152:E156)</f>
        <v>0</v>
      </c>
      <c r="F151" s="49">
        <f t="shared" si="4"/>
        <v>0</v>
      </c>
      <c r="G151" s="49">
        <f t="shared" si="1"/>
        <v>178000</v>
      </c>
      <c r="H151" s="49">
        <f>SUM(H152:H156)</f>
        <v>0</v>
      </c>
      <c r="I151" s="49">
        <f>SUM(I152:I156)</f>
        <v>0</v>
      </c>
      <c r="J151" s="49">
        <f t="shared" si="7"/>
        <v>0</v>
      </c>
      <c r="K151" s="49">
        <f t="shared" si="2"/>
        <v>178000</v>
      </c>
      <c r="L151" s="49">
        <f>SUM(L152:L156)</f>
        <v>0</v>
      </c>
      <c r="M151" s="136"/>
    </row>
    <row r="152" spans="1:13" ht="12.75" customHeight="1">
      <c r="A152" s="167" t="s">
        <v>324</v>
      </c>
      <c r="B152" s="110">
        <v>0</v>
      </c>
      <c r="C152" s="110">
        <v>0</v>
      </c>
      <c r="D152" s="110">
        <v>0</v>
      </c>
      <c r="E152" s="110">
        <v>0</v>
      </c>
      <c r="F152" s="52">
        <f t="shared" si="4"/>
        <v>0</v>
      </c>
      <c r="G152" s="52">
        <f t="shared" si="1"/>
        <v>0</v>
      </c>
      <c r="H152" s="110">
        <v>0</v>
      </c>
      <c r="I152" s="110">
        <v>0</v>
      </c>
      <c r="J152" s="52">
        <f t="shared" si="7"/>
        <v>0</v>
      </c>
      <c r="K152" s="169">
        <f t="shared" si="2"/>
        <v>0</v>
      </c>
      <c r="L152" s="110">
        <v>0</v>
      </c>
      <c r="M152" s="136"/>
    </row>
    <row r="153" spans="1:13" ht="12.75" customHeight="1">
      <c r="A153" s="167" t="s">
        <v>325</v>
      </c>
      <c r="B153" s="110">
        <v>178000</v>
      </c>
      <c r="C153" s="110">
        <v>178000</v>
      </c>
      <c r="D153" s="110">
        <v>0</v>
      </c>
      <c r="E153" s="110">
        <v>0</v>
      </c>
      <c r="F153" s="52">
        <f t="shared" si="4"/>
        <v>0</v>
      </c>
      <c r="G153" s="52">
        <f t="shared" si="1"/>
        <v>178000</v>
      </c>
      <c r="H153" s="110">
        <v>0</v>
      </c>
      <c r="I153" s="110">
        <v>0</v>
      </c>
      <c r="J153" s="52">
        <f t="shared" si="7"/>
        <v>0</v>
      </c>
      <c r="K153" s="169">
        <f t="shared" si="2"/>
        <v>178000</v>
      </c>
      <c r="L153" s="110">
        <v>0</v>
      </c>
      <c r="M153" s="136"/>
    </row>
    <row r="154" spans="1:13" ht="12.75" customHeight="1">
      <c r="A154" s="167" t="s">
        <v>326</v>
      </c>
      <c r="B154" s="110">
        <v>0</v>
      </c>
      <c r="C154" s="110">
        <v>0</v>
      </c>
      <c r="D154" s="110">
        <v>0</v>
      </c>
      <c r="E154" s="110">
        <v>0</v>
      </c>
      <c r="F154" s="52">
        <f t="shared" si="4"/>
        <v>0</v>
      </c>
      <c r="G154" s="52">
        <f t="shared" si="1"/>
        <v>0</v>
      </c>
      <c r="H154" s="110">
        <v>0</v>
      </c>
      <c r="I154" s="110">
        <v>0</v>
      </c>
      <c r="J154" s="52">
        <f t="shared" si="7"/>
        <v>0</v>
      </c>
      <c r="K154" s="169">
        <f t="shared" si="2"/>
        <v>0</v>
      </c>
      <c r="L154" s="110">
        <v>0</v>
      </c>
      <c r="M154" s="136"/>
    </row>
    <row r="155" spans="1:13" ht="12.75" customHeight="1">
      <c r="A155" s="167" t="s">
        <v>327</v>
      </c>
      <c r="B155" s="110">
        <v>0</v>
      </c>
      <c r="C155" s="110">
        <v>0</v>
      </c>
      <c r="D155" s="110">
        <v>0</v>
      </c>
      <c r="E155" s="110">
        <v>0</v>
      </c>
      <c r="F155" s="52">
        <f t="shared" si="4"/>
        <v>0</v>
      </c>
      <c r="G155" s="52">
        <f t="shared" si="1"/>
        <v>0</v>
      </c>
      <c r="H155" s="110">
        <v>0</v>
      </c>
      <c r="I155" s="110">
        <v>0</v>
      </c>
      <c r="J155" s="52">
        <f t="shared" si="7"/>
        <v>0</v>
      </c>
      <c r="K155" s="169">
        <f t="shared" si="2"/>
        <v>0</v>
      </c>
      <c r="L155" s="110">
        <v>0</v>
      </c>
      <c r="M155" s="136"/>
    </row>
    <row r="156" spans="1:13" ht="12.75" customHeight="1">
      <c r="A156" s="167" t="s">
        <v>211</v>
      </c>
      <c r="B156" s="110">
        <v>0</v>
      </c>
      <c r="C156" s="110">
        <v>0</v>
      </c>
      <c r="D156" s="110">
        <v>0</v>
      </c>
      <c r="E156" s="110">
        <v>0</v>
      </c>
      <c r="F156" s="52">
        <f t="shared" si="4"/>
        <v>0</v>
      </c>
      <c r="G156" s="52">
        <f t="shared" si="1"/>
        <v>0</v>
      </c>
      <c r="H156" s="110">
        <v>0</v>
      </c>
      <c r="I156" s="110">
        <v>0</v>
      </c>
      <c r="J156" s="52">
        <f t="shared" si="7"/>
        <v>0</v>
      </c>
      <c r="K156" s="169">
        <f t="shared" si="2"/>
        <v>0</v>
      </c>
      <c r="L156" s="110">
        <v>0</v>
      </c>
      <c r="M156" s="136"/>
    </row>
    <row r="157" spans="1:13" ht="12.75" customHeight="1">
      <c r="A157" s="166" t="s">
        <v>328</v>
      </c>
      <c r="B157" s="49">
        <f>SUM(B158:B163)</f>
        <v>292000</v>
      </c>
      <c r="C157" s="49">
        <f>SUM(C158:C163)</f>
        <v>292000</v>
      </c>
      <c r="D157" s="49">
        <f>SUM(D158:D163)</f>
        <v>0</v>
      </c>
      <c r="E157" s="49">
        <f>SUM(E158:E163)</f>
        <v>0</v>
      </c>
      <c r="F157" s="49">
        <f t="shared" si="4"/>
        <v>0</v>
      </c>
      <c r="G157" s="49">
        <f t="shared" si="1"/>
        <v>292000</v>
      </c>
      <c r="H157" s="49">
        <f>SUM(H158:H163)</f>
        <v>0</v>
      </c>
      <c r="I157" s="49">
        <f>SUM(I158:I163)</f>
        <v>0</v>
      </c>
      <c r="J157" s="49">
        <f t="shared" si="7"/>
        <v>0</v>
      </c>
      <c r="K157" s="49">
        <f t="shared" si="2"/>
        <v>292000</v>
      </c>
      <c r="L157" s="49">
        <f>SUM(L158:L163)</f>
        <v>0</v>
      </c>
      <c r="M157" s="136"/>
    </row>
    <row r="158" spans="1:13" ht="12.75" customHeight="1">
      <c r="A158" s="167" t="s">
        <v>329</v>
      </c>
      <c r="B158" s="110">
        <v>0</v>
      </c>
      <c r="C158" s="110">
        <v>0</v>
      </c>
      <c r="D158" s="110">
        <v>0</v>
      </c>
      <c r="E158" s="110">
        <v>0</v>
      </c>
      <c r="F158" s="52">
        <f t="shared" si="4"/>
        <v>0</v>
      </c>
      <c r="G158" s="52">
        <f t="shared" si="1"/>
        <v>0</v>
      </c>
      <c r="H158" s="110">
        <v>0</v>
      </c>
      <c r="I158" s="110">
        <v>0</v>
      </c>
      <c r="J158" s="52">
        <f t="shared" si="7"/>
        <v>0</v>
      </c>
      <c r="K158" s="169">
        <f t="shared" si="2"/>
        <v>0</v>
      </c>
      <c r="L158" s="110">
        <v>0</v>
      </c>
      <c r="M158" s="136"/>
    </row>
    <row r="159" spans="1:13" ht="12.75" customHeight="1">
      <c r="A159" s="167" t="s">
        <v>330</v>
      </c>
      <c r="B159" s="98">
        <v>292000</v>
      </c>
      <c r="C159" s="98">
        <v>292000</v>
      </c>
      <c r="D159" s="98">
        <v>0</v>
      </c>
      <c r="E159" s="98">
        <v>0</v>
      </c>
      <c r="F159" s="52">
        <f t="shared" si="4"/>
        <v>0</v>
      </c>
      <c r="G159" s="52">
        <f t="shared" si="1"/>
        <v>292000</v>
      </c>
      <c r="H159" s="98">
        <v>0</v>
      </c>
      <c r="I159" s="98">
        <v>0</v>
      </c>
      <c r="J159" s="52">
        <f t="shared" si="7"/>
        <v>0</v>
      </c>
      <c r="K159" s="169">
        <f t="shared" si="2"/>
        <v>292000</v>
      </c>
      <c r="L159" s="110">
        <v>0</v>
      </c>
      <c r="M159" s="136"/>
    </row>
    <row r="160" spans="1:13" ht="12.75" customHeight="1">
      <c r="A160" s="167" t="s">
        <v>331</v>
      </c>
      <c r="B160" s="110">
        <v>0</v>
      </c>
      <c r="C160" s="110">
        <v>0</v>
      </c>
      <c r="D160" s="110">
        <v>0</v>
      </c>
      <c r="E160" s="110">
        <v>0</v>
      </c>
      <c r="F160" s="52">
        <f t="shared" si="4"/>
        <v>0</v>
      </c>
      <c r="G160" s="52">
        <f t="shared" si="1"/>
        <v>0</v>
      </c>
      <c r="H160" s="110">
        <v>0</v>
      </c>
      <c r="I160" s="110">
        <v>0</v>
      </c>
      <c r="J160" s="52">
        <f t="shared" si="7"/>
        <v>0</v>
      </c>
      <c r="K160" s="169">
        <f t="shared" si="2"/>
        <v>0</v>
      </c>
      <c r="L160" s="110">
        <v>0</v>
      </c>
      <c r="M160" s="136"/>
    </row>
    <row r="161" spans="1:13" ht="12.75" customHeight="1">
      <c r="A161" s="167" t="s">
        <v>332</v>
      </c>
      <c r="B161" s="110">
        <v>0</v>
      </c>
      <c r="C161" s="110">
        <v>0</v>
      </c>
      <c r="D161" s="110">
        <v>0</v>
      </c>
      <c r="E161" s="110">
        <v>0</v>
      </c>
      <c r="F161" s="52">
        <f t="shared" si="4"/>
        <v>0</v>
      </c>
      <c r="G161" s="52">
        <f t="shared" si="1"/>
        <v>0</v>
      </c>
      <c r="H161" s="110">
        <v>0</v>
      </c>
      <c r="I161" s="110">
        <v>0</v>
      </c>
      <c r="J161" s="52">
        <f t="shared" si="7"/>
        <v>0</v>
      </c>
      <c r="K161" s="169">
        <f t="shared" si="2"/>
        <v>0</v>
      </c>
      <c r="L161" s="110">
        <v>0</v>
      </c>
      <c r="M161" s="136"/>
    </row>
    <row r="162" spans="1:13" ht="12.75" customHeight="1">
      <c r="A162" s="167" t="s">
        <v>333</v>
      </c>
      <c r="B162" s="110">
        <v>0</v>
      </c>
      <c r="C162" s="110">
        <v>0</v>
      </c>
      <c r="D162" s="110">
        <v>0</v>
      </c>
      <c r="E162" s="110">
        <v>0</v>
      </c>
      <c r="F162" s="52">
        <f t="shared" si="4"/>
        <v>0</v>
      </c>
      <c r="G162" s="52">
        <f t="shared" si="1"/>
        <v>0</v>
      </c>
      <c r="H162" s="110">
        <v>0</v>
      </c>
      <c r="I162" s="110">
        <v>0</v>
      </c>
      <c r="J162" s="52">
        <f t="shared" si="7"/>
        <v>0</v>
      </c>
      <c r="K162" s="169">
        <f t="shared" si="2"/>
        <v>0</v>
      </c>
      <c r="L162" s="110">
        <v>0</v>
      </c>
      <c r="M162" s="136"/>
    </row>
    <row r="163" spans="1:13" ht="12.75" customHeight="1">
      <c r="A163" s="167" t="s">
        <v>211</v>
      </c>
      <c r="B163" s="110">
        <v>0</v>
      </c>
      <c r="C163" s="110">
        <v>0</v>
      </c>
      <c r="D163" s="110">
        <v>0</v>
      </c>
      <c r="E163" s="110">
        <v>0</v>
      </c>
      <c r="F163" s="52">
        <f t="shared" si="4"/>
        <v>0</v>
      </c>
      <c r="G163" s="52">
        <f t="shared" si="1"/>
        <v>0</v>
      </c>
      <c r="H163" s="110">
        <v>0</v>
      </c>
      <c r="I163" s="110">
        <v>0</v>
      </c>
      <c r="J163" s="52">
        <f t="shared" si="7"/>
        <v>0</v>
      </c>
      <c r="K163" s="169">
        <f t="shared" si="2"/>
        <v>0</v>
      </c>
      <c r="L163" s="110">
        <v>0</v>
      </c>
      <c r="M163" s="136"/>
    </row>
    <row r="164" spans="1:13" ht="12.75" customHeight="1">
      <c r="A164" s="166" t="s">
        <v>334</v>
      </c>
      <c r="B164" s="49">
        <f>SUM(B165:B168)</f>
        <v>781000</v>
      </c>
      <c r="C164" s="49">
        <f>SUM(C165:C168)</f>
        <v>781000</v>
      </c>
      <c r="D164" s="49">
        <f>SUM(D165:D168)</f>
        <v>14623.2</v>
      </c>
      <c r="E164" s="49">
        <f>SUM(E165:E168)</f>
        <v>43949.7</v>
      </c>
      <c r="F164" s="49">
        <f t="shared" si="4"/>
        <v>0.003720587614469887</v>
      </c>
      <c r="G164" s="49">
        <f t="shared" si="1"/>
        <v>737050.3</v>
      </c>
      <c r="H164" s="49">
        <f>SUM(H165:H168)</f>
        <v>14623.2</v>
      </c>
      <c r="I164" s="49">
        <f>SUM(I165:I168)</f>
        <v>43949.7</v>
      </c>
      <c r="J164" s="49">
        <f t="shared" si="7"/>
        <v>0</v>
      </c>
      <c r="K164" s="49">
        <f t="shared" si="2"/>
        <v>737050.3</v>
      </c>
      <c r="L164" s="49">
        <f>SUM(L165:L168)</f>
        <v>0</v>
      </c>
      <c r="M164" s="136"/>
    </row>
    <row r="165" spans="1:13" ht="12.75" customHeight="1">
      <c r="A165" s="167" t="s">
        <v>335</v>
      </c>
      <c r="B165" s="110">
        <v>264000</v>
      </c>
      <c r="C165" s="110">
        <v>264000</v>
      </c>
      <c r="D165" s="110">
        <v>0</v>
      </c>
      <c r="E165" s="110">
        <v>0</v>
      </c>
      <c r="F165" s="52">
        <f t="shared" si="4"/>
        <v>0</v>
      </c>
      <c r="G165" s="52">
        <f t="shared" si="1"/>
        <v>264000</v>
      </c>
      <c r="H165" s="110">
        <v>0</v>
      </c>
      <c r="I165" s="110">
        <v>0</v>
      </c>
      <c r="J165" s="52">
        <f t="shared" si="7"/>
        <v>0</v>
      </c>
      <c r="K165" s="169">
        <f t="shared" si="2"/>
        <v>264000</v>
      </c>
      <c r="L165" s="110">
        <v>0</v>
      </c>
      <c r="M165" s="136"/>
    </row>
    <row r="166" spans="1:13" ht="12.75" customHeight="1">
      <c r="A166" s="167" t="s">
        <v>336</v>
      </c>
      <c r="B166" s="110">
        <v>352000</v>
      </c>
      <c r="C166" s="110">
        <v>352000</v>
      </c>
      <c r="D166" s="110">
        <v>14623.2</v>
      </c>
      <c r="E166" s="110">
        <v>43949.7</v>
      </c>
      <c r="F166" s="52">
        <f t="shared" si="4"/>
        <v>0.003720587614469887</v>
      </c>
      <c r="G166" s="52">
        <f t="shared" si="1"/>
        <v>308050.3</v>
      </c>
      <c r="H166" s="110">
        <v>14623.2</v>
      </c>
      <c r="I166" s="110">
        <v>43949.7</v>
      </c>
      <c r="J166" s="52">
        <f t="shared" si="7"/>
        <v>0</v>
      </c>
      <c r="K166" s="169">
        <f t="shared" si="2"/>
        <v>308050.3</v>
      </c>
      <c r="L166" s="110">
        <v>0</v>
      </c>
      <c r="M166" s="136"/>
    </row>
    <row r="167" spans="1:13" ht="12.75" customHeight="1">
      <c r="A167" s="167" t="s">
        <v>337</v>
      </c>
      <c r="B167" s="98">
        <v>0</v>
      </c>
      <c r="C167" s="98">
        <v>0</v>
      </c>
      <c r="D167" s="98">
        <v>0</v>
      </c>
      <c r="E167" s="98">
        <v>0</v>
      </c>
      <c r="F167" s="52">
        <f t="shared" si="4"/>
        <v>0</v>
      </c>
      <c r="G167" s="52">
        <f t="shared" si="1"/>
        <v>0</v>
      </c>
      <c r="H167" s="98">
        <v>0</v>
      </c>
      <c r="I167" s="98">
        <v>0</v>
      </c>
      <c r="J167" s="52">
        <f t="shared" si="7"/>
        <v>0</v>
      </c>
      <c r="K167" s="169">
        <f t="shared" si="2"/>
        <v>0</v>
      </c>
      <c r="L167" s="110">
        <v>0</v>
      </c>
      <c r="M167" s="136"/>
    </row>
    <row r="168" spans="1:13" ht="12.75" customHeight="1">
      <c r="A168" s="167" t="s">
        <v>211</v>
      </c>
      <c r="B168" s="110">
        <v>165000</v>
      </c>
      <c r="C168" s="110">
        <v>165000</v>
      </c>
      <c r="D168" s="110">
        <v>0</v>
      </c>
      <c r="E168" s="110">
        <v>0</v>
      </c>
      <c r="F168" s="52">
        <f t="shared" si="4"/>
        <v>0</v>
      </c>
      <c r="G168" s="52">
        <f t="shared" si="1"/>
        <v>165000</v>
      </c>
      <c r="H168" s="110">
        <v>0</v>
      </c>
      <c r="I168" s="110">
        <v>0</v>
      </c>
      <c r="J168" s="52">
        <f t="shared" si="7"/>
        <v>0</v>
      </c>
      <c r="K168" s="169">
        <f t="shared" si="2"/>
        <v>165000</v>
      </c>
      <c r="L168" s="110">
        <v>0</v>
      </c>
      <c r="M168" s="136"/>
    </row>
    <row r="169" spans="1:13" ht="12.75" customHeight="1">
      <c r="A169" s="166" t="s">
        <v>338</v>
      </c>
      <c r="B169" s="49">
        <f>SUM(B170:B177)</f>
        <v>0</v>
      </c>
      <c r="C169" s="49">
        <f>SUM(C170:C177)</f>
        <v>0</v>
      </c>
      <c r="D169" s="49">
        <f>SUM(D170:D177)</f>
        <v>0</v>
      </c>
      <c r="E169" s="49">
        <f>SUM(E170:E177)</f>
        <v>0</v>
      </c>
      <c r="F169" s="49">
        <f t="shared" si="4"/>
        <v>0</v>
      </c>
      <c r="G169" s="49">
        <f t="shared" si="1"/>
        <v>0</v>
      </c>
      <c r="H169" s="49">
        <f>SUM(H170:H177)</f>
        <v>0</v>
      </c>
      <c r="I169" s="49">
        <f>SUM(I170:I177)</f>
        <v>0</v>
      </c>
      <c r="J169" s="49">
        <f t="shared" si="7"/>
        <v>0</v>
      </c>
      <c r="K169" s="49">
        <f t="shared" si="2"/>
        <v>0</v>
      </c>
      <c r="L169" s="49">
        <f>SUM(L170:L177)</f>
        <v>0</v>
      </c>
      <c r="M169" s="136"/>
    </row>
    <row r="170" spans="1:13" ht="12.75" customHeight="1">
      <c r="A170" s="167" t="s">
        <v>339</v>
      </c>
      <c r="B170" s="110">
        <v>0</v>
      </c>
      <c r="C170" s="110">
        <v>0</v>
      </c>
      <c r="D170" s="110">
        <v>0</v>
      </c>
      <c r="E170" s="110">
        <v>0</v>
      </c>
      <c r="F170" s="52">
        <f t="shared" si="4"/>
        <v>0</v>
      </c>
      <c r="G170" s="52">
        <f t="shared" si="1"/>
        <v>0</v>
      </c>
      <c r="H170" s="110">
        <v>0</v>
      </c>
      <c r="I170" s="110">
        <v>0</v>
      </c>
      <c r="J170" s="52">
        <f t="shared" si="7"/>
        <v>0</v>
      </c>
      <c r="K170" s="169">
        <f t="shared" si="2"/>
        <v>0</v>
      </c>
      <c r="L170" s="110">
        <v>0</v>
      </c>
      <c r="M170" s="136"/>
    </row>
    <row r="171" spans="1:13" ht="12.75" customHeight="1">
      <c r="A171" s="167" t="s">
        <v>340</v>
      </c>
      <c r="B171" s="110">
        <v>0</v>
      </c>
      <c r="C171" s="110">
        <v>0</v>
      </c>
      <c r="D171" s="110">
        <v>0</v>
      </c>
      <c r="E171" s="110">
        <v>0</v>
      </c>
      <c r="F171" s="52">
        <f t="shared" si="4"/>
        <v>0</v>
      </c>
      <c r="G171" s="52">
        <f t="shared" si="1"/>
        <v>0</v>
      </c>
      <c r="H171" s="110">
        <v>0</v>
      </c>
      <c r="I171" s="110">
        <v>0</v>
      </c>
      <c r="J171" s="52">
        <f t="shared" si="7"/>
        <v>0</v>
      </c>
      <c r="K171" s="169">
        <f t="shared" si="2"/>
        <v>0</v>
      </c>
      <c r="L171" s="110">
        <v>0</v>
      </c>
      <c r="M171" s="136"/>
    </row>
    <row r="172" spans="1:13" ht="12.75" customHeight="1">
      <c r="A172" s="167" t="s">
        <v>341</v>
      </c>
      <c r="B172" s="98">
        <v>0</v>
      </c>
      <c r="C172" s="98">
        <v>0</v>
      </c>
      <c r="D172" s="98">
        <v>0</v>
      </c>
      <c r="E172" s="98">
        <v>0</v>
      </c>
      <c r="F172" s="52">
        <f t="shared" si="4"/>
        <v>0</v>
      </c>
      <c r="G172" s="52">
        <f t="shared" si="1"/>
        <v>0</v>
      </c>
      <c r="H172" s="98">
        <v>0</v>
      </c>
      <c r="I172" s="98">
        <v>0</v>
      </c>
      <c r="J172" s="52">
        <f t="shared" si="7"/>
        <v>0</v>
      </c>
      <c r="K172" s="169">
        <f t="shared" si="2"/>
        <v>0</v>
      </c>
      <c r="L172" s="110">
        <v>0</v>
      </c>
      <c r="M172" s="136"/>
    </row>
    <row r="173" spans="1:13" ht="12.75" customHeight="1">
      <c r="A173" s="167" t="s">
        <v>342</v>
      </c>
      <c r="B173" s="98">
        <v>0</v>
      </c>
      <c r="C173" s="98">
        <v>0</v>
      </c>
      <c r="D173" s="98">
        <v>0</v>
      </c>
      <c r="E173" s="98">
        <v>0</v>
      </c>
      <c r="F173" s="52">
        <f t="shared" si="4"/>
        <v>0</v>
      </c>
      <c r="G173" s="52">
        <f t="shared" si="1"/>
        <v>0</v>
      </c>
      <c r="H173" s="98">
        <v>0</v>
      </c>
      <c r="I173" s="98">
        <v>0</v>
      </c>
      <c r="J173" s="52">
        <f t="shared" si="7"/>
        <v>0</v>
      </c>
      <c r="K173" s="169">
        <f t="shared" si="2"/>
        <v>0</v>
      </c>
      <c r="L173" s="110">
        <v>0</v>
      </c>
      <c r="M173" s="136"/>
    </row>
    <row r="174" spans="1:13" ht="12.75" customHeight="1">
      <c r="A174" s="167" t="s">
        <v>343</v>
      </c>
      <c r="B174" s="98">
        <v>0</v>
      </c>
      <c r="C174" s="98">
        <v>0</v>
      </c>
      <c r="D174" s="98">
        <v>0</v>
      </c>
      <c r="E174" s="98">
        <v>0</v>
      </c>
      <c r="F174" s="52">
        <f t="shared" si="4"/>
        <v>0</v>
      </c>
      <c r="G174" s="52">
        <f t="shared" si="1"/>
        <v>0</v>
      </c>
      <c r="H174" s="98">
        <v>0</v>
      </c>
      <c r="I174" s="98">
        <v>0</v>
      </c>
      <c r="J174" s="52">
        <f t="shared" si="7"/>
        <v>0</v>
      </c>
      <c r="K174" s="169">
        <f t="shared" si="2"/>
        <v>0</v>
      </c>
      <c r="L174" s="110">
        <v>0</v>
      </c>
      <c r="M174" s="136"/>
    </row>
    <row r="175" spans="1:13" ht="12.75" customHeight="1">
      <c r="A175" s="167" t="s">
        <v>344</v>
      </c>
      <c r="B175" s="98">
        <v>0</v>
      </c>
      <c r="C175" s="98">
        <v>0</v>
      </c>
      <c r="D175" s="98">
        <v>0</v>
      </c>
      <c r="E175" s="98">
        <v>0</v>
      </c>
      <c r="F175" s="52">
        <f t="shared" si="4"/>
        <v>0</v>
      </c>
      <c r="G175" s="52">
        <f t="shared" si="1"/>
        <v>0</v>
      </c>
      <c r="H175" s="98">
        <v>0</v>
      </c>
      <c r="I175" s="98">
        <v>0</v>
      </c>
      <c r="J175" s="52">
        <f t="shared" si="7"/>
        <v>0</v>
      </c>
      <c r="K175" s="169">
        <f t="shared" si="2"/>
        <v>0</v>
      </c>
      <c r="L175" s="110">
        <v>0</v>
      </c>
      <c r="M175" s="136"/>
    </row>
    <row r="176" spans="1:13" ht="12.75" customHeight="1">
      <c r="A176" s="167" t="s">
        <v>345</v>
      </c>
      <c r="B176" s="98">
        <v>0</v>
      </c>
      <c r="C176" s="98">
        <v>0</v>
      </c>
      <c r="D176" s="98">
        <v>0</v>
      </c>
      <c r="E176" s="98">
        <v>0</v>
      </c>
      <c r="F176" s="52">
        <f t="shared" si="4"/>
        <v>0</v>
      </c>
      <c r="G176" s="52">
        <f t="shared" si="1"/>
        <v>0</v>
      </c>
      <c r="H176" s="98">
        <v>0</v>
      </c>
      <c r="I176" s="98">
        <v>0</v>
      </c>
      <c r="J176" s="52">
        <f t="shared" si="7"/>
        <v>0</v>
      </c>
      <c r="K176" s="169">
        <f t="shared" si="2"/>
        <v>0</v>
      </c>
      <c r="L176" s="110">
        <v>0</v>
      </c>
      <c r="M176" s="136"/>
    </row>
    <row r="177" spans="1:13" ht="12.75" customHeight="1">
      <c r="A177" s="167" t="s">
        <v>211</v>
      </c>
      <c r="B177" s="98">
        <v>0</v>
      </c>
      <c r="C177" s="98">
        <v>0</v>
      </c>
      <c r="D177" s="98">
        <v>0</v>
      </c>
      <c r="E177" s="98">
        <v>0</v>
      </c>
      <c r="F177" s="52">
        <f t="shared" si="4"/>
        <v>0</v>
      </c>
      <c r="G177" s="52">
        <f t="shared" si="1"/>
        <v>0</v>
      </c>
      <c r="H177" s="98">
        <v>0</v>
      </c>
      <c r="I177" s="98">
        <v>0</v>
      </c>
      <c r="J177" s="52">
        <f t="shared" si="7"/>
        <v>0</v>
      </c>
      <c r="K177" s="169">
        <f t="shared" si="2"/>
        <v>0</v>
      </c>
      <c r="L177" s="110">
        <v>0</v>
      </c>
      <c r="M177" s="136"/>
    </row>
    <row r="178" spans="1:13" ht="12.75" customHeight="1">
      <c r="A178" s="166" t="s">
        <v>141</v>
      </c>
      <c r="B178" s="170">
        <v>3365000</v>
      </c>
      <c r="C178" s="170">
        <v>1898743.15</v>
      </c>
      <c r="D178" s="171"/>
      <c r="E178" s="171"/>
      <c r="F178" s="171"/>
      <c r="G178" s="172">
        <f t="shared" si="1"/>
        <v>1898743.15</v>
      </c>
      <c r="H178" s="171"/>
      <c r="I178" s="171"/>
      <c r="J178" s="171"/>
      <c r="K178" s="172">
        <f t="shared" si="2"/>
        <v>1898743.15</v>
      </c>
      <c r="L178" s="171"/>
      <c r="M178" s="173"/>
    </row>
    <row r="179" spans="1:13" ht="12.75" customHeight="1" hidden="1">
      <c r="A179" s="174"/>
      <c r="B179" s="175"/>
      <c r="C179" s="175"/>
      <c r="D179" s="171"/>
      <c r="E179" s="171"/>
      <c r="F179" s="171"/>
      <c r="G179" s="172">
        <f t="shared" si="1"/>
        <v>0</v>
      </c>
      <c r="H179" s="171"/>
      <c r="I179" s="171"/>
      <c r="J179" s="171"/>
      <c r="K179" s="172">
        <f t="shared" si="2"/>
        <v>0</v>
      </c>
      <c r="L179" s="171"/>
      <c r="M179" s="136"/>
    </row>
    <row r="180" spans="1:13" ht="12.75" customHeight="1">
      <c r="A180" s="176" t="s">
        <v>346</v>
      </c>
      <c r="B180" s="177">
        <v>0</v>
      </c>
      <c r="C180" s="177">
        <v>0</v>
      </c>
      <c r="D180" s="177">
        <v>0</v>
      </c>
      <c r="E180" s="177">
        <v>0</v>
      </c>
      <c r="F180" s="46">
        <f>IF(E$181="",0,IF(E$181=0,0,E180/E$181))</f>
        <v>0</v>
      </c>
      <c r="G180" s="46">
        <f t="shared" si="1"/>
        <v>0</v>
      </c>
      <c r="H180" s="178">
        <v>0</v>
      </c>
      <c r="I180" s="178">
        <v>0</v>
      </c>
      <c r="J180" s="46">
        <f>IF(I347="",0,IF(I347=0,0,I180/I$181))</f>
        <v>0</v>
      </c>
      <c r="K180" s="179">
        <f t="shared" si="2"/>
        <v>0</v>
      </c>
      <c r="L180" s="177">
        <v>0</v>
      </c>
      <c r="M180" s="136"/>
    </row>
    <row r="181" spans="1:13" ht="12.75" customHeight="1">
      <c r="A181" s="180" t="s">
        <v>347</v>
      </c>
      <c r="B181" s="181">
        <f aca="true" t="shared" si="8" ref="B181:L181">+B180+B13</f>
        <v>37959000</v>
      </c>
      <c r="C181" s="181">
        <f t="shared" si="8"/>
        <v>37959000</v>
      </c>
      <c r="D181" s="181">
        <f t="shared" si="8"/>
        <v>4216684.41</v>
      </c>
      <c r="E181" s="181">
        <f t="shared" si="8"/>
        <v>11812569.559999999</v>
      </c>
      <c r="F181" s="181">
        <f t="shared" si="8"/>
        <v>1</v>
      </c>
      <c r="G181" s="181">
        <f t="shared" si="8"/>
        <v>26146430.44</v>
      </c>
      <c r="H181" s="181">
        <f t="shared" si="8"/>
        <v>3158931.98</v>
      </c>
      <c r="I181" s="181">
        <f t="shared" si="8"/>
        <v>8756997.36</v>
      </c>
      <c r="J181" s="181">
        <f t="shared" si="8"/>
        <v>1</v>
      </c>
      <c r="K181" s="181">
        <f t="shared" si="8"/>
        <v>29202002.64</v>
      </c>
      <c r="L181" s="181">
        <f t="shared" si="8"/>
        <v>0</v>
      </c>
      <c r="M181" s="182"/>
    </row>
    <row r="182" spans="1:11" ht="11.25" customHeight="1">
      <c r="A182" s="930" t="s">
        <v>1151</v>
      </c>
      <c r="B182" s="930"/>
      <c r="C182" s="930"/>
      <c r="D182" s="930"/>
      <c r="E182" s="930"/>
      <c r="F182" s="930"/>
      <c r="G182" s="930"/>
      <c r="H182" s="930"/>
      <c r="I182" s="930"/>
      <c r="J182" s="930"/>
      <c r="K182" s="930"/>
    </row>
    <row r="183" spans="1:3" ht="11.25" customHeight="1">
      <c r="A183" s="923" t="s">
        <v>348</v>
      </c>
      <c r="B183" s="923"/>
      <c r="C183" s="923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A1">
      <selection activeCell="A17" sqref="A17"/>
    </sheetView>
  </sheetViews>
  <sheetFormatPr defaultColWidth="3.7109375" defaultRowHeight="11.25" customHeight="1"/>
  <cols>
    <col min="1" max="1" width="47.421875" style="154" customWidth="1"/>
    <col min="2" max="7" width="17.57421875" style="154" customWidth="1"/>
    <col min="8" max="8" width="17.57421875" style="30" customWidth="1"/>
    <col min="9" max="12" width="17.57421875" style="154" customWidth="1"/>
    <col min="13" max="13" width="17.421875" style="154" customWidth="1"/>
    <col min="14" max="14" width="18.7109375" style="154" customWidth="1"/>
    <col min="15" max="15" width="17.57421875" style="154" customWidth="1"/>
    <col min="16" max="18" width="3.7109375" style="154" customWidth="1"/>
    <col min="19" max="19" width="2.8515625" style="154" customWidth="1"/>
    <col min="20" max="16384" width="3.7109375" style="154" customWidth="1"/>
  </cols>
  <sheetData>
    <row r="1" spans="1:21" ht="11.25" customHeight="1">
      <c r="A1" s="34" t="s">
        <v>349</v>
      </c>
      <c r="Q1" s="183"/>
      <c r="R1" s="184" t="s">
        <v>350</v>
      </c>
      <c r="S1" s="183" t="s">
        <v>351</v>
      </c>
      <c r="T1" s="183" t="s">
        <v>352</v>
      </c>
      <c r="U1" s="183" t="s">
        <v>353</v>
      </c>
    </row>
    <row r="2" spans="1:21" ht="11.25" customHeight="1">
      <c r="A2" s="34"/>
      <c r="Q2" s="183"/>
      <c r="R2" s="184" t="s">
        <v>354</v>
      </c>
      <c r="S2" s="183" t="s">
        <v>355</v>
      </c>
      <c r="T2" s="183" t="s">
        <v>356</v>
      </c>
      <c r="U2" s="183" t="s">
        <v>351</v>
      </c>
    </row>
    <row r="3" spans="1:21" ht="11.25" customHeight="1">
      <c r="A3" s="945" t="str">
        <f>+'Informações Iniciais'!A1</f>
        <v>MUNICÍPIO DE RIBAMAR FIQUENE - PODER EXECUTIVO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Q3" s="183"/>
      <c r="R3" s="184" t="s">
        <v>357</v>
      </c>
      <c r="S3" s="183" t="s">
        <v>358</v>
      </c>
      <c r="T3" s="183" t="s">
        <v>359</v>
      </c>
      <c r="U3" s="183" t="s">
        <v>355</v>
      </c>
    </row>
    <row r="4" spans="1:21" ht="11.25" customHeight="1">
      <c r="A4" s="946" t="s">
        <v>0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Q4" s="183"/>
      <c r="R4" s="184" t="s">
        <v>360</v>
      </c>
      <c r="S4" s="183" t="s">
        <v>361</v>
      </c>
      <c r="T4" s="183" t="s">
        <v>362</v>
      </c>
      <c r="U4" s="183" t="s">
        <v>358</v>
      </c>
    </row>
    <row r="5" spans="1:21" ht="11.25" customHeight="1">
      <c r="A5" s="947" t="s">
        <v>363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947"/>
      <c r="Q5" s="183"/>
      <c r="R5" s="184" t="s">
        <v>364</v>
      </c>
      <c r="S5" s="183" t="s">
        <v>365</v>
      </c>
      <c r="T5" s="183" t="s">
        <v>366</v>
      </c>
      <c r="U5" s="183" t="s">
        <v>361</v>
      </c>
    </row>
    <row r="6" spans="1:21" ht="11.25" customHeight="1">
      <c r="A6" s="948" t="s">
        <v>29</v>
      </c>
      <c r="B6" s="948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Q6" s="183"/>
      <c r="R6" s="184" t="s">
        <v>367</v>
      </c>
      <c r="S6" s="183" t="s">
        <v>353</v>
      </c>
      <c r="T6" s="183" t="s">
        <v>368</v>
      </c>
      <c r="U6" s="183" t="s">
        <v>365</v>
      </c>
    </row>
    <row r="7" spans="1:15" ht="11.25" customHeight="1">
      <c r="A7" s="945" t="str">
        <f>+'Informações Iniciais'!A5</f>
        <v>3º Bimestre de 2020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945"/>
      <c r="N7" s="945"/>
      <c r="O7" s="945"/>
    </row>
    <row r="8" spans="1:15" ht="11.2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ht="11.25" customHeight="1">
      <c r="A9" s="154" t="s">
        <v>369</v>
      </c>
      <c r="H9" s="186"/>
      <c r="O9" s="156" t="s">
        <v>31</v>
      </c>
    </row>
    <row r="10" spans="1:15" ht="15" customHeight="1">
      <c r="A10" s="959" t="s">
        <v>370</v>
      </c>
      <c r="B10" s="960" t="s">
        <v>371</v>
      </c>
      <c r="C10" s="960"/>
      <c r="D10" s="960"/>
      <c r="E10" s="960"/>
      <c r="F10" s="960"/>
      <c r="G10" s="960"/>
      <c r="H10" s="960"/>
      <c r="I10" s="960"/>
      <c r="J10" s="960"/>
      <c r="K10" s="960"/>
      <c r="L10" s="960"/>
      <c r="M10" s="960"/>
      <c r="N10" s="961" t="s">
        <v>372</v>
      </c>
      <c r="O10" s="962" t="s">
        <v>34</v>
      </c>
    </row>
    <row r="11" spans="1:15" ht="15" customHeight="1">
      <c r="A11" s="959"/>
      <c r="B11" s="960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1"/>
      <c r="O11" s="962"/>
    </row>
    <row r="12" spans="1:15" ht="15" customHeight="1">
      <c r="A12" s="959"/>
      <c r="B12" s="187" t="str">
        <f>IF(C12=$S1,$T1,IF(C12=$S2,$T2,IF(C12=$S3,$T3,IF(C12=$S4,$T4,IF(C12=$S5,$T5,IF(C12=$S6,$T6,"&lt;MR-1&gt;"))))))</f>
        <v>&lt;MR-1&gt;</v>
      </c>
      <c r="C12" s="187" t="str">
        <f>IF(D12=$T1,$U1,IF(D12=$T2,$U2,IF(D12=$T3,$U3,IF(D12=$T4,$U4,IF(D12=$T5,$U5,IF(D12=$T6,$U6,"&lt;MR-2&gt;"))))))</f>
        <v>&lt;MR-2&gt;</v>
      </c>
      <c r="D12" s="187" t="str">
        <f>IF(E12=$S1,$T1,IF(E12=$S2,$T2,IF(E12=$S3,$T3,IF(E12=$S4,$T4,IF(E12=$S5,$T5,IF(E12=$S6,$T6,"&lt;MR-1&gt;"))))))</f>
        <v>&lt;MR-1&gt;</v>
      </c>
      <c r="E12" s="187" t="str">
        <f>IF(F12=$T1,$U1,IF(F12=$T2,$U2,IF(F12=$T3,$U3,IF(F12=$T4,$U4,IF(F12=$T5,$U5,IF(F12=$T6,$U6,"&lt;MR-2&gt;"))))))</f>
        <v>&lt;MR-2&gt;</v>
      </c>
      <c r="F12" s="187" t="str">
        <f>IF(G12=$S1,$T1,IF(G12=$S2,$T2,IF(G12=$S3,$T3,IF(G12=$S4,$T4,IF(G12=$S5,$T5,IF(G12=$S6,$T6,"&lt;MR-1&gt;"))))))</f>
        <v>&lt;MR-1&gt;</v>
      </c>
      <c r="G12" s="187" t="str">
        <f>IF(H12=$T1,$U1,IF(H12=$T2,$U2,IF(H12=$T3,$U3,IF(H12=$T4,$U4,IF(H12=$T5,$U5,IF(H12=$T6,$U6,"&lt;MR-2&gt;"))))))</f>
        <v>&lt;MR-2&gt;</v>
      </c>
      <c r="H12" s="187" t="str">
        <f>IF(I12=$S1,$T1,IF(I12=$S2,$T2,IF(I12=$S3,$T3,IF(I12=$S4,$T4,IF(I12=$S5,$T5,IF(I12=$S6,$T6,"&lt;MR-1&gt;"))))))</f>
        <v>&lt;MR-1&gt;</v>
      </c>
      <c r="I12" s="187" t="str">
        <f>IF(J12=$T1,$U1,IF(J12=$T2,$U2,IF(J12=$T3,$U3,IF(J12=$T4,$U4,IF(J12=$T5,$U5,IF(J12=$T6,$U6,"&lt;MR-2&gt;"))))))</f>
        <v>&lt;MR-2&gt;</v>
      </c>
      <c r="J12" s="187" t="str">
        <f>IF(K12=$S1,$T1,IF(K12=$S2,$T2,IF(K12=$S3,$T3,IF(K12=$S4,$T4,IF(K12=$S5,$T5,IF(K12=$S6,$T6,"&lt;MR-1&gt;"))))))</f>
        <v>&lt;MR-1&gt;</v>
      </c>
      <c r="K12" s="187" t="str">
        <f>IF(L12=$T1,$U1,IF(L12=$T2,$U2,IF(L12=$T3,$U3,IF(L12=$T4,$U4,IF(L12=$T5,$U5,IF(L12=$T6,$U6,"&lt;MR-2&gt;"))))))</f>
        <v>&lt;MR-2&gt;</v>
      </c>
      <c r="L12" s="187" t="str">
        <f>IF(M12=$S1,$T1,IF(M12=$S2,$T2,IF(M12=$S3,$T3,IF(M12=$S4,$T4,IF(M12=$S5,$T5,IF(M12=$S6,$T6,"&lt;MR-1&gt;"))))))</f>
        <v>&lt;MR-1&gt;</v>
      </c>
      <c r="M12" s="187" t="str">
        <f>IF(A7=R1,S1,IF(A7=R2,S2,IF(A7=R3,S3,IF(A7=R4,S4,IF(A7=R5,S5,IF(A7=R6,S6,"MR"))))))</f>
        <v>MR</v>
      </c>
      <c r="N12" s="961"/>
      <c r="O12" s="162" t="str">
        <f>RIGHT(R1,4)</f>
        <v>2017</v>
      </c>
    </row>
    <row r="13" spans="1:15" s="153" customFormat="1" ht="12.75" customHeight="1">
      <c r="A13" s="188" t="s">
        <v>373</v>
      </c>
      <c r="B13" s="189">
        <f aca="true" t="shared" si="0" ref="B13:M13">+B14+B20+B21+B24+B25+B26+B27+B36</f>
        <v>1798915.5599999998</v>
      </c>
      <c r="C13" s="189">
        <f t="shared" si="0"/>
        <v>1658889.09</v>
      </c>
      <c r="D13" s="189">
        <f t="shared" si="0"/>
        <v>1670707.45</v>
      </c>
      <c r="E13" s="189">
        <f t="shared" si="0"/>
        <v>1452829.67</v>
      </c>
      <c r="F13" s="189">
        <f t="shared" si="0"/>
        <v>1731874.29</v>
      </c>
      <c r="G13" s="189">
        <f t="shared" si="0"/>
        <v>3055063.23</v>
      </c>
      <c r="H13" s="189">
        <f t="shared" si="0"/>
        <v>2172614.96</v>
      </c>
      <c r="I13" s="189">
        <f t="shared" si="0"/>
        <v>2079472.5899999999</v>
      </c>
      <c r="J13" s="189">
        <f t="shared" si="0"/>
        <v>1614210.19</v>
      </c>
      <c r="K13" s="189">
        <f t="shared" si="0"/>
        <v>1891372.45</v>
      </c>
      <c r="L13" s="189">
        <f t="shared" si="0"/>
        <v>1598930.82</v>
      </c>
      <c r="M13" s="189">
        <f t="shared" si="0"/>
        <v>1756765.13</v>
      </c>
      <c r="N13" s="189">
        <f aca="true" t="shared" si="1" ref="N13:N41">SUM(B13:M13)</f>
        <v>22481645.43</v>
      </c>
      <c r="O13" s="189">
        <f>+O14+O20+O21+O24+O25+O26+O27+O36</f>
        <v>35323000</v>
      </c>
    </row>
    <row r="14" spans="1:15" ht="12.75" customHeight="1">
      <c r="A14" s="53" t="s">
        <v>374</v>
      </c>
      <c r="B14" s="100">
        <f aca="true" t="shared" si="2" ref="B14:M14">SUM(B15:B19)</f>
        <v>64934.740000000005</v>
      </c>
      <c r="C14" s="100">
        <f t="shared" si="2"/>
        <v>46883.86</v>
      </c>
      <c r="D14" s="100">
        <f t="shared" si="2"/>
        <v>40514.65</v>
      </c>
      <c r="E14" s="100">
        <f t="shared" si="2"/>
        <v>25463.27</v>
      </c>
      <c r="F14" s="100">
        <f t="shared" si="2"/>
        <v>65460.8</v>
      </c>
      <c r="G14" s="100">
        <f t="shared" si="2"/>
        <v>61376.87</v>
      </c>
      <c r="H14" s="100">
        <f t="shared" si="2"/>
        <v>36743.270000000004</v>
      </c>
      <c r="I14" s="100">
        <f t="shared" si="2"/>
        <v>56882.630000000005</v>
      </c>
      <c r="J14" s="100">
        <f t="shared" si="2"/>
        <v>56572.08</v>
      </c>
      <c r="K14" s="100">
        <f t="shared" si="2"/>
        <v>57909.16</v>
      </c>
      <c r="L14" s="100">
        <f t="shared" si="2"/>
        <v>56979.89</v>
      </c>
      <c r="M14" s="100">
        <f t="shared" si="2"/>
        <v>34044.74</v>
      </c>
      <c r="N14" s="100">
        <f t="shared" si="1"/>
        <v>603765.9600000001</v>
      </c>
      <c r="O14" s="100">
        <f>SUM(O15:O19)</f>
        <v>196000</v>
      </c>
    </row>
    <row r="15" spans="1:15" ht="12.75" customHeight="1">
      <c r="A15" s="50" t="s">
        <v>375</v>
      </c>
      <c r="B15" s="99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169">
        <f t="shared" si="1"/>
        <v>0</v>
      </c>
      <c r="O15" s="99">
        <v>5000</v>
      </c>
    </row>
    <row r="16" spans="1:15" ht="12.75" customHeight="1">
      <c r="A16" s="50" t="s">
        <v>376</v>
      </c>
      <c r="B16" s="99">
        <v>21024.22</v>
      </c>
      <c r="C16" s="99">
        <v>10165.55</v>
      </c>
      <c r="D16" s="99">
        <v>7868.89</v>
      </c>
      <c r="E16" s="99">
        <v>12949.29</v>
      </c>
      <c r="F16" s="99">
        <v>29359.28</v>
      </c>
      <c r="G16" s="99">
        <v>13224.66</v>
      </c>
      <c r="H16" s="99">
        <v>7823.84</v>
      </c>
      <c r="I16" s="99">
        <v>7698.01</v>
      </c>
      <c r="J16" s="99">
        <v>8109.93</v>
      </c>
      <c r="K16" s="99">
        <v>4947.63</v>
      </c>
      <c r="L16" s="99">
        <v>11679.93</v>
      </c>
      <c r="M16" s="99">
        <v>7565.28</v>
      </c>
      <c r="N16" s="169">
        <f t="shared" si="1"/>
        <v>142416.51</v>
      </c>
      <c r="O16" s="99">
        <v>80000</v>
      </c>
    </row>
    <row r="17" spans="1:15" ht="12.75" customHeight="1">
      <c r="A17" s="50" t="s">
        <v>377</v>
      </c>
      <c r="B17" s="99">
        <v>10083.71</v>
      </c>
      <c r="C17" s="99">
        <v>1585.2</v>
      </c>
      <c r="D17" s="99">
        <v>0</v>
      </c>
      <c r="E17" s="99">
        <v>0</v>
      </c>
      <c r="F17" s="99">
        <v>4000</v>
      </c>
      <c r="G17" s="99">
        <v>1951.85</v>
      </c>
      <c r="H17" s="99">
        <v>240</v>
      </c>
      <c r="I17" s="99">
        <v>0</v>
      </c>
      <c r="J17" s="99">
        <v>4000</v>
      </c>
      <c r="K17" s="99">
        <v>19500</v>
      </c>
      <c r="L17" s="99">
        <v>4560</v>
      </c>
      <c r="M17" s="99">
        <v>2600</v>
      </c>
      <c r="N17" s="169">
        <f t="shared" si="1"/>
        <v>48520.759999999995</v>
      </c>
      <c r="O17" s="99">
        <v>5000</v>
      </c>
    </row>
    <row r="18" spans="1:15" ht="12.75" customHeight="1">
      <c r="A18" s="50" t="s">
        <v>378</v>
      </c>
      <c r="B18" s="99">
        <v>31410.81</v>
      </c>
      <c r="C18" s="99">
        <v>31413.11</v>
      </c>
      <c r="D18" s="99">
        <v>28565.76</v>
      </c>
      <c r="E18" s="99">
        <v>10703.98</v>
      </c>
      <c r="F18" s="99">
        <v>25700.52</v>
      </c>
      <c r="G18" s="99">
        <v>42670.36</v>
      </c>
      <c r="H18" s="99">
        <v>25462.43</v>
      </c>
      <c r="I18" s="99">
        <v>47184.62</v>
      </c>
      <c r="J18" s="99">
        <v>43322.15</v>
      </c>
      <c r="K18" s="99">
        <v>33276.53</v>
      </c>
      <c r="L18" s="99">
        <v>40539.96</v>
      </c>
      <c r="M18" s="99">
        <v>23639.46</v>
      </c>
      <c r="N18" s="169">
        <f t="shared" si="1"/>
        <v>383889.69000000006</v>
      </c>
      <c r="O18" s="99">
        <v>100000</v>
      </c>
    </row>
    <row r="19" spans="1:15" ht="12.75" customHeight="1">
      <c r="A19" s="50" t="s">
        <v>379</v>
      </c>
      <c r="B19" s="99">
        <v>2416</v>
      </c>
      <c r="C19" s="99">
        <v>3720</v>
      </c>
      <c r="D19" s="99">
        <v>4080</v>
      </c>
      <c r="E19" s="99">
        <v>1810</v>
      </c>
      <c r="F19" s="99">
        <v>6401</v>
      </c>
      <c r="G19" s="99">
        <v>3530</v>
      </c>
      <c r="H19" s="99">
        <v>3217</v>
      </c>
      <c r="I19" s="99">
        <v>2000</v>
      </c>
      <c r="J19" s="99">
        <v>1140</v>
      </c>
      <c r="K19" s="99">
        <v>185</v>
      </c>
      <c r="L19" s="99">
        <v>200</v>
      </c>
      <c r="M19" s="99">
        <v>240</v>
      </c>
      <c r="N19" s="169">
        <f t="shared" si="1"/>
        <v>28939</v>
      </c>
      <c r="O19" s="99">
        <v>6000</v>
      </c>
    </row>
    <row r="20" spans="1:15" ht="12.75" customHeight="1">
      <c r="A20" s="50" t="s">
        <v>380</v>
      </c>
      <c r="B20" s="99">
        <v>0</v>
      </c>
      <c r="C20" s="99">
        <v>0</v>
      </c>
      <c r="D20" s="99">
        <v>0</v>
      </c>
      <c r="E20" s="99">
        <v>0</v>
      </c>
      <c r="F20" s="99">
        <v>0</v>
      </c>
      <c r="G20" s="99">
        <v>137571.73</v>
      </c>
      <c r="H20" s="99">
        <v>0</v>
      </c>
      <c r="I20" s="99">
        <v>0</v>
      </c>
      <c r="J20" s="99">
        <v>0</v>
      </c>
      <c r="K20" s="99">
        <v>0</v>
      </c>
      <c r="L20" s="99">
        <v>1482.28</v>
      </c>
      <c r="M20" s="99">
        <v>9635.72</v>
      </c>
      <c r="N20" s="169">
        <f t="shared" si="1"/>
        <v>148689.73</v>
      </c>
      <c r="O20" s="99">
        <v>90000</v>
      </c>
    </row>
    <row r="21" spans="1:15" ht="12.75" customHeight="1">
      <c r="A21" s="50" t="s">
        <v>381</v>
      </c>
      <c r="B21" s="190">
        <f aca="true" t="shared" si="3" ref="B21:M21">B22+B23</f>
        <v>3122.81</v>
      </c>
      <c r="C21" s="190">
        <f t="shared" si="3"/>
        <v>1854.09</v>
      </c>
      <c r="D21" s="190">
        <f t="shared" si="3"/>
        <v>1709.14</v>
      </c>
      <c r="E21" s="190">
        <f t="shared" si="3"/>
        <v>2622.94</v>
      </c>
      <c r="F21" s="190">
        <f t="shared" si="3"/>
        <v>1595.63</v>
      </c>
      <c r="G21" s="190">
        <f t="shared" si="3"/>
        <v>1133.35</v>
      </c>
      <c r="H21" s="190">
        <f t="shared" si="3"/>
        <v>1311.86</v>
      </c>
      <c r="I21" s="190">
        <f t="shared" si="3"/>
        <v>1426.31</v>
      </c>
      <c r="J21" s="190">
        <f t="shared" si="3"/>
        <v>1484.12</v>
      </c>
      <c r="K21" s="190">
        <f t="shared" si="3"/>
        <v>895.68</v>
      </c>
      <c r="L21" s="190">
        <f t="shared" si="3"/>
        <v>983.16</v>
      </c>
      <c r="M21" s="190">
        <f t="shared" si="3"/>
        <v>840.96</v>
      </c>
      <c r="N21" s="169">
        <f t="shared" si="1"/>
        <v>18980.05</v>
      </c>
      <c r="O21" s="190">
        <f>O22+O23</f>
        <v>24000</v>
      </c>
    </row>
    <row r="22" spans="1:15" ht="12.75" customHeight="1">
      <c r="A22" s="50" t="s">
        <v>382</v>
      </c>
      <c r="B22" s="99">
        <v>3122.81</v>
      </c>
      <c r="C22" s="99">
        <v>1854.09</v>
      </c>
      <c r="D22" s="99">
        <v>1709.14</v>
      </c>
      <c r="E22" s="99">
        <v>2622.94</v>
      </c>
      <c r="F22" s="99">
        <v>1595.63</v>
      </c>
      <c r="G22" s="99">
        <v>1133.35</v>
      </c>
      <c r="H22" s="99">
        <v>1311.86</v>
      </c>
      <c r="I22" s="99">
        <v>1426.31</v>
      </c>
      <c r="J22" s="99">
        <v>1484.12</v>
      </c>
      <c r="K22" s="99">
        <v>895.68</v>
      </c>
      <c r="L22" s="99">
        <v>983.16</v>
      </c>
      <c r="M22" s="99">
        <v>840.96</v>
      </c>
      <c r="N22" s="169">
        <f t="shared" si="1"/>
        <v>18980.05</v>
      </c>
      <c r="O22" s="99">
        <v>24000</v>
      </c>
    </row>
    <row r="23" spans="1:15" ht="12.75" customHeight="1">
      <c r="A23" s="50" t="s">
        <v>383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169">
        <f t="shared" si="1"/>
        <v>0</v>
      </c>
      <c r="O23" s="99">
        <v>0</v>
      </c>
    </row>
    <row r="24" spans="1:15" ht="12.75" customHeight="1">
      <c r="A24" s="50" t="s">
        <v>384</v>
      </c>
      <c r="B24" s="99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169">
        <f t="shared" si="1"/>
        <v>0</v>
      </c>
      <c r="O24" s="99">
        <v>0</v>
      </c>
    </row>
    <row r="25" spans="1:15" ht="12.75" customHeight="1">
      <c r="A25" s="50" t="s">
        <v>385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169">
        <f t="shared" si="1"/>
        <v>0</v>
      </c>
      <c r="O25" s="99">
        <v>0</v>
      </c>
    </row>
    <row r="26" spans="1:15" ht="12.75" customHeight="1">
      <c r="A26" s="50" t="s">
        <v>386</v>
      </c>
      <c r="B26" s="99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169">
        <f t="shared" si="1"/>
        <v>0</v>
      </c>
      <c r="O26" s="99">
        <v>746000</v>
      </c>
    </row>
    <row r="27" spans="1:15" ht="12.75" customHeight="1">
      <c r="A27" s="50" t="s">
        <v>387</v>
      </c>
      <c r="B27" s="100">
        <f aca="true" t="shared" si="4" ref="B27:M27">SUM(B28:B35)</f>
        <v>1730858.0099999998</v>
      </c>
      <c r="C27" s="100">
        <f t="shared" si="4"/>
        <v>1608901.84</v>
      </c>
      <c r="D27" s="100">
        <f t="shared" si="4"/>
        <v>1628483.66</v>
      </c>
      <c r="E27" s="100">
        <f t="shared" si="4"/>
        <v>1423825.3</v>
      </c>
      <c r="F27" s="100">
        <f t="shared" si="4"/>
        <v>1664817.86</v>
      </c>
      <c r="G27" s="100">
        <f t="shared" si="4"/>
        <v>2854981.28</v>
      </c>
      <c r="H27" s="100">
        <f t="shared" si="4"/>
        <v>2134559.83</v>
      </c>
      <c r="I27" s="100">
        <f t="shared" si="4"/>
        <v>2021163.65</v>
      </c>
      <c r="J27" s="100">
        <f t="shared" si="4"/>
        <v>1556153.99</v>
      </c>
      <c r="K27" s="100">
        <f t="shared" si="4"/>
        <v>1832567.6099999999</v>
      </c>
      <c r="L27" s="100">
        <f t="shared" si="4"/>
        <v>1539485.49</v>
      </c>
      <c r="M27" s="100">
        <f t="shared" si="4"/>
        <v>1712243.71</v>
      </c>
      <c r="N27" s="100">
        <f t="shared" si="1"/>
        <v>21708042.23</v>
      </c>
      <c r="O27" s="100">
        <f>SUM(O28:O35)</f>
        <v>34255000</v>
      </c>
    </row>
    <row r="28" spans="1:15" ht="12.75" customHeight="1">
      <c r="A28" s="50" t="s">
        <v>388</v>
      </c>
      <c r="B28" s="99">
        <v>805290.2</v>
      </c>
      <c r="C28" s="99">
        <v>587806.92</v>
      </c>
      <c r="D28" s="99">
        <v>523234.85</v>
      </c>
      <c r="E28" s="99">
        <v>481705.63</v>
      </c>
      <c r="F28" s="99">
        <v>653743.47</v>
      </c>
      <c r="G28" s="99">
        <v>1114524.71</v>
      </c>
      <c r="H28" s="99">
        <v>660483.42</v>
      </c>
      <c r="I28" s="99">
        <v>954369.05</v>
      </c>
      <c r="J28" s="99">
        <v>558046</v>
      </c>
      <c r="K28" s="99">
        <v>547008.62</v>
      </c>
      <c r="L28" s="99">
        <v>571500.15</v>
      </c>
      <c r="M28" s="99">
        <v>465231.79</v>
      </c>
      <c r="N28" s="169">
        <f t="shared" si="1"/>
        <v>7922944.8100000005</v>
      </c>
      <c r="O28" s="99">
        <v>9000000</v>
      </c>
    </row>
    <row r="29" spans="1:15" ht="12.75" customHeight="1">
      <c r="A29" s="50" t="s">
        <v>389</v>
      </c>
      <c r="B29" s="99">
        <v>169534.48</v>
      </c>
      <c r="C29" s="99">
        <v>173067.31</v>
      </c>
      <c r="D29" s="99">
        <v>176604.06</v>
      </c>
      <c r="E29" s="99">
        <v>171560.45</v>
      </c>
      <c r="F29" s="99">
        <v>186485.13</v>
      </c>
      <c r="G29" s="99">
        <v>207927.82</v>
      </c>
      <c r="H29" s="99">
        <v>191931.11</v>
      </c>
      <c r="I29" s="99">
        <v>172811.38</v>
      </c>
      <c r="J29" s="99">
        <v>151369.59</v>
      </c>
      <c r="K29" s="99">
        <v>133762.52</v>
      </c>
      <c r="L29" s="99">
        <v>122290.56</v>
      </c>
      <c r="M29" s="99">
        <v>129658.7</v>
      </c>
      <c r="N29" s="169">
        <f t="shared" si="1"/>
        <v>1987003.1099999999</v>
      </c>
      <c r="O29" s="99">
        <v>1500000</v>
      </c>
    </row>
    <row r="30" spans="1:15" ht="12.75" customHeight="1">
      <c r="A30" s="50" t="s">
        <v>390</v>
      </c>
      <c r="B30" s="99">
        <v>13307.47</v>
      </c>
      <c r="C30" s="99">
        <v>3510.69</v>
      </c>
      <c r="D30" s="99">
        <v>3208.72</v>
      </c>
      <c r="E30" s="99">
        <v>3321.7</v>
      </c>
      <c r="F30" s="99">
        <v>1408.81</v>
      </c>
      <c r="G30" s="99">
        <v>2739.17</v>
      </c>
      <c r="H30" s="99">
        <v>5161.47</v>
      </c>
      <c r="I30" s="99">
        <v>19814.91</v>
      </c>
      <c r="J30" s="99">
        <v>22438.73</v>
      </c>
      <c r="K30" s="99">
        <v>3842.1</v>
      </c>
      <c r="L30" s="99">
        <v>5367.99</v>
      </c>
      <c r="M30" s="99">
        <v>7688.48</v>
      </c>
      <c r="N30" s="169">
        <f t="shared" si="1"/>
        <v>91810.24</v>
      </c>
      <c r="O30" s="99">
        <v>100000</v>
      </c>
    </row>
    <row r="31" spans="1:15" ht="12.75" customHeight="1">
      <c r="A31" s="50" t="s">
        <v>391</v>
      </c>
      <c r="B31" s="99">
        <v>0</v>
      </c>
      <c r="C31" s="99">
        <v>20.36</v>
      </c>
      <c r="D31" s="99">
        <v>863.89</v>
      </c>
      <c r="E31" s="99">
        <v>4734.41</v>
      </c>
      <c r="F31" s="99">
        <v>2941.05</v>
      </c>
      <c r="G31" s="99">
        <v>2529.62</v>
      </c>
      <c r="H31" s="99">
        <v>2422.25</v>
      </c>
      <c r="I31" s="99">
        <v>40.14</v>
      </c>
      <c r="J31" s="99">
        <v>66.73</v>
      </c>
      <c r="K31" s="99">
        <v>52</v>
      </c>
      <c r="L31" s="99">
        <v>10.33</v>
      </c>
      <c r="M31" s="99">
        <v>34.82</v>
      </c>
      <c r="N31" s="169">
        <f t="shared" si="1"/>
        <v>13715.599999999997</v>
      </c>
      <c r="O31" s="99">
        <v>10000</v>
      </c>
    </row>
    <row r="32" spans="1:15" ht="12.75" customHeight="1">
      <c r="A32" s="50" t="s">
        <v>392</v>
      </c>
      <c r="B32" s="99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169">
        <f t="shared" si="1"/>
        <v>0</v>
      </c>
      <c r="O32" s="99">
        <v>10000</v>
      </c>
    </row>
    <row r="33" spans="1:15" ht="12.75" customHeight="1">
      <c r="A33" s="50" t="s">
        <v>393</v>
      </c>
      <c r="B33" s="99">
        <v>1482.69</v>
      </c>
      <c r="C33" s="99">
        <v>1327.03</v>
      </c>
      <c r="D33" s="99">
        <v>1617.68</v>
      </c>
      <c r="E33" s="99">
        <v>1431.63</v>
      </c>
      <c r="F33" s="99">
        <v>525.61</v>
      </c>
      <c r="G33" s="99">
        <v>1767.14</v>
      </c>
      <c r="H33" s="99">
        <v>1211.11</v>
      </c>
      <c r="I33" s="99">
        <v>1310.11</v>
      </c>
      <c r="J33" s="99">
        <v>1209.04</v>
      </c>
      <c r="K33" s="99">
        <v>406.24</v>
      </c>
      <c r="L33" s="99">
        <v>169.01</v>
      </c>
      <c r="M33" s="99">
        <v>832.12</v>
      </c>
      <c r="N33" s="169">
        <f t="shared" si="1"/>
        <v>13289.410000000002</v>
      </c>
      <c r="O33" s="99">
        <v>20000</v>
      </c>
    </row>
    <row r="34" spans="1:15" ht="12.75" customHeight="1">
      <c r="A34" s="50" t="s">
        <v>394</v>
      </c>
      <c r="B34" s="99">
        <v>524820.19</v>
      </c>
      <c r="C34" s="99">
        <v>556925.48</v>
      </c>
      <c r="D34" s="99">
        <v>539854.64</v>
      </c>
      <c r="E34" s="99">
        <v>524274.21</v>
      </c>
      <c r="F34" s="99">
        <v>585036.04</v>
      </c>
      <c r="G34" s="99">
        <v>757489.46</v>
      </c>
      <c r="H34" s="99">
        <v>1153923.76</v>
      </c>
      <c r="I34" s="99">
        <v>700652.39</v>
      </c>
      <c r="J34" s="99">
        <v>570902.13</v>
      </c>
      <c r="K34" s="99">
        <v>494090.98</v>
      </c>
      <c r="L34" s="99">
        <v>534838.63</v>
      </c>
      <c r="M34" s="99">
        <v>513540.36</v>
      </c>
      <c r="N34" s="169">
        <f t="shared" si="1"/>
        <v>7456348.27</v>
      </c>
      <c r="O34" s="99">
        <v>8906000</v>
      </c>
    </row>
    <row r="35" spans="1:15" ht="12.75" customHeight="1">
      <c r="A35" s="50" t="s">
        <v>395</v>
      </c>
      <c r="B35" s="99">
        <v>216422.98</v>
      </c>
      <c r="C35" s="99">
        <v>286244.05</v>
      </c>
      <c r="D35" s="99">
        <v>383099.82</v>
      </c>
      <c r="E35" s="99">
        <v>236797.27</v>
      </c>
      <c r="F35" s="99">
        <v>234677.75</v>
      </c>
      <c r="G35" s="99">
        <v>768003.36</v>
      </c>
      <c r="H35" s="99">
        <v>119426.71</v>
      </c>
      <c r="I35" s="99">
        <v>172165.67</v>
      </c>
      <c r="J35" s="99">
        <v>252121.77</v>
      </c>
      <c r="K35" s="99">
        <v>653405.15</v>
      </c>
      <c r="L35" s="99">
        <v>305308.82</v>
      </c>
      <c r="M35" s="99">
        <v>595257.44</v>
      </c>
      <c r="N35" s="169">
        <f t="shared" si="1"/>
        <v>4222930.789999999</v>
      </c>
      <c r="O35" s="99">
        <v>14709000</v>
      </c>
    </row>
    <row r="36" spans="1:15" ht="12.75" customHeight="1">
      <c r="A36" s="53" t="s">
        <v>396</v>
      </c>
      <c r="B36" s="99">
        <v>0</v>
      </c>
      <c r="C36" s="99">
        <v>1249.3</v>
      </c>
      <c r="D36" s="99">
        <v>0</v>
      </c>
      <c r="E36" s="99">
        <v>918.16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169">
        <f t="shared" si="1"/>
        <v>2167.46</v>
      </c>
      <c r="O36" s="99">
        <v>12000</v>
      </c>
    </row>
    <row r="37" spans="1:15" ht="12.75" customHeight="1">
      <c r="A37" s="191" t="s">
        <v>397</v>
      </c>
      <c r="B37" s="179">
        <f aca="true" t="shared" si="5" ref="B37:M37">SUM(B38:B40)</f>
        <v>130773.35</v>
      </c>
      <c r="C37" s="179">
        <f t="shared" si="5"/>
        <v>152178.86</v>
      </c>
      <c r="D37" s="179">
        <f t="shared" si="5"/>
        <v>140140.5</v>
      </c>
      <c r="E37" s="179">
        <f t="shared" si="5"/>
        <v>131600.05</v>
      </c>
      <c r="F37" s="179">
        <f t="shared" si="5"/>
        <v>168633.88</v>
      </c>
      <c r="G37" s="179">
        <f t="shared" si="5"/>
        <v>198342.26</v>
      </c>
      <c r="H37" s="179">
        <f t="shared" si="5"/>
        <v>170967.31</v>
      </c>
      <c r="I37" s="179">
        <f t="shared" si="5"/>
        <v>225444.07</v>
      </c>
      <c r="J37" s="179">
        <f t="shared" si="5"/>
        <v>141896.41</v>
      </c>
      <c r="K37" s="179">
        <f t="shared" si="5"/>
        <v>136164.58</v>
      </c>
      <c r="L37" s="179">
        <f t="shared" si="5"/>
        <v>138760.16</v>
      </c>
      <c r="M37" s="179">
        <f t="shared" si="5"/>
        <v>118985</v>
      </c>
      <c r="N37" s="179">
        <f t="shared" si="1"/>
        <v>1853886.43</v>
      </c>
      <c r="O37" s="179">
        <f>SUM(O38:O40)</f>
        <v>2002000</v>
      </c>
    </row>
    <row r="38" spans="1:15" ht="12.75" customHeight="1">
      <c r="A38" s="50" t="s">
        <v>398</v>
      </c>
      <c r="B38" s="99">
        <v>0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169">
        <f t="shared" si="1"/>
        <v>0</v>
      </c>
      <c r="O38" s="99">
        <v>0</v>
      </c>
    </row>
    <row r="39" spans="1:15" ht="12.75" customHeight="1">
      <c r="A39" s="50" t="s">
        <v>399</v>
      </c>
      <c r="B39" s="99">
        <v>0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169">
        <f t="shared" si="1"/>
        <v>0</v>
      </c>
      <c r="O39" s="99">
        <v>0</v>
      </c>
    </row>
    <row r="40" spans="1:15" ht="12.75" customHeight="1">
      <c r="A40" s="50" t="s">
        <v>400</v>
      </c>
      <c r="B40" s="99">
        <v>130773.35</v>
      </c>
      <c r="C40" s="99">
        <v>152178.86</v>
      </c>
      <c r="D40" s="99">
        <v>140140.5</v>
      </c>
      <c r="E40" s="99">
        <v>131600.05</v>
      </c>
      <c r="F40" s="99">
        <v>168633.88</v>
      </c>
      <c r="G40" s="99">
        <v>198342.26</v>
      </c>
      <c r="H40" s="99">
        <v>170967.31</v>
      </c>
      <c r="I40" s="99">
        <v>225444.07</v>
      </c>
      <c r="J40" s="99">
        <v>141896.41</v>
      </c>
      <c r="K40" s="99">
        <v>136164.58</v>
      </c>
      <c r="L40" s="99">
        <v>138760.16</v>
      </c>
      <c r="M40" s="99">
        <v>118985</v>
      </c>
      <c r="N40" s="169">
        <f t="shared" si="1"/>
        <v>1853886.43</v>
      </c>
      <c r="O40" s="99">
        <v>2002000</v>
      </c>
    </row>
    <row r="41" spans="1:15" ht="12.75" customHeight="1">
      <c r="A41" s="192" t="s">
        <v>401</v>
      </c>
      <c r="B41" s="193">
        <f aca="true" t="shared" si="6" ref="B41:M41">+B13-B37</f>
        <v>1668142.2099999997</v>
      </c>
      <c r="C41" s="193">
        <f t="shared" si="6"/>
        <v>1506710.23</v>
      </c>
      <c r="D41" s="193">
        <f t="shared" si="6"/>
        <v>1530566.95</v>
      </c>
      <c r="E41" s="193">
        <f t="shared" si="6"/>
        <v>1321229.6199999999</v>
      </c>
      <c r="F41" s="193">
        <f t="shared" si="6"/>
        <v>1563240.4100000001</v>
      </c>
      <c r="G41" s="193">
        <f t="shared" si="6"/>
        <v>2856720.9699999997</v>
      </c>
      <c r="H41" s="193">
        <f t="shared" si="6"/>
        <v>2001647.65</v>
      </c>
      <c r="I41" s="193">
        <f t="shared" si="6"/>
        <v>1854028.5199999998</v>
      </c>
      <c r="J41" s="193">
        <f t="shared" si="6"/>
        <v>1472313.78</v>
      </c>
      <c r="K41" s="193">
        <f t="shared" si="6"/>
        <v>1755207.8699999999</v>
      </c>
      <c r="L41" s="193">
        <f t="shared" si="6"/>
        <v>1460170.6600000001</v>
      </c>
      <c r="M41" s="193">
        <f t="shared" si="6"/>
        <v>1637780.13</v>
      </c>
      <c r="N41" s="193">
        <f t="shared" si="1"/>
        <v>20627759</v>
      </c>
      <c r="O41" s="193">
        <f>+O13-O37</f>
        <v>33321000</v>
      </c>
    </row>
    <row r="42" spans="1:15" ht="12.75" customHeight="1">
      <c r="A42" s="930" t="s">
        <v>1151</v>
      </c>
      <c r="B42" s="930"/>
      <c r="C42" s="930"/>
      <c r="D42" s="930"/>
      <c r="E42" s="930"/>
      <c r="F42" s="930"/>
      <c r="G42" s="930"/>
      <c r="H42" s="930"/>
      <c r="I42" s="930"/>
      <c r="J42" s="930"/>
      <c r="K42" s="930"/>
      <c r="L42" s="930"/>
      <c r="M42" s="930"/>
      <c r="N42" s="930"/>
      <c r="O42" s="930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50" customWidth="1"/>
    <col min="2" max="5" width="7.8515625" style="150" customWidth="1"/>
    <col min="6" max="6" width="19.7109375" style="150" customWidth="1"/>
    <col min="7" max="7" width="19.8515625" style="150" customWidth="1"/>
    <col min="8" max="8" width="20.57421875" style="150" customWidth="1"/>
    <col min="9" max="9" width="21.7109375" style="150" customWidth="1"/>
    <col min="10" max="10" width="18.140625" style="150" customWidth="1"/>
    <col min="11" max="11" width="18.421875" style="150" customWidth="1"/>
    <col min="12" max="20" width="3.7109375" style="150" customWidth="1"/>
    <col min="21" max="21" width="23.57421875" style="150" customWidth="1"/>
    <col min="22" max="29" width="3.7109375" style="150" customWidth="1"/>
    <col min="30" max="30" width="11.8515625" style="150" customWidth="1"/>
    <col min="31" max="156" width="3.7109375" style="150" customWidth="1"/>
    <col min="157" max="157" width="15.7109375" style="150" customWidth="1"/>
    <col min="158" max="158" width="8.57421875" style="150" customWidth="1"/>
    <col min="159" max="16384" width="3.7109375" style="150" customWidth="1"/>
  </cols>
  <sheetData>
    <row r="1" ht="11.25" customHeight="1">
      <c r="A1" s="34" t="s">
        <v>402</v>
      </c>
    </row>
    <row r="2" ht="11.25" customHeight="1">
      <c r="A2" s="34"/>
    </row>
    <row r="3" spans="1:6" ht="12.75" customHeight="1">
      <c r="A3" s="945" t="str">
        <f>+'Informações Iniciais'!A1</f>
        <v>MUNICÍPIO DE RIBAMAR FIQUENE - PODER EXECUTIVO</v>
      </c>
      <c r="B3" s="945"/>
      <c r="C3" s="945"/>
      <c r="D3" s="945"/>
      <c r="E3" s="945"/>
      <c r="F3" s="945"/>
    </row>
    <row r="4" spans="1:6" ht="12.75" customHeight="1">
      <c r="A4" s="946" t="s">
        <v>0</v>
      </c>
      <c r="B4" s="946"/>
      <c r="C4" s="946"/>
      <c r="D4" s="946"/>
      <c r="E4" s="946"/>
      <c r="F4" s="946"/>
    </row>
    <row r="5" spans="1:6" ht="12.75" customHeight="1">
      <c r="A5" s="1003" t="s">
        <v>403</v>
      </c>
      <c r="B5" s="1003"/>
      <c r="C5" s="1003"/>
      <c r="D5" s="1003"/>
      <c r="E5" s="1003"/>
      <c r="F5" s="1003"/>
    </row>
    <row r="6" spans="1:6" ht="12.75" customHeight="1">
      <c r="A6" s="946" t="s">
        <v>404</v>
      </c>
      <c r="B6" s="946"/>
      <c r="C6" s="946"/>
      <c r="D6" s="946"/>
      <c r="E6" s="946"/>
      <c r="F6" s="946"/>
    </row>
    <row r="7" spans="1:6" ht="12.75" customHeight="1">
      <c r="A7" s="945" t="str">
        <f>+'Informações Iniciais'!A5</f>
        <v>3º Bimestre de 2020</v>
      </c>
      <c r="B7" s="945"/>
      <c r="C7" s="945"/>
      <c r="D7" s="945"/>
      <c r="E7" s="945"/>
      <c r="F7" s="945"/>
    </row>
    <row r="8" spans="1:6" ht="11.25" customHeight="1">
      <c r="A8" s="152"/>
      <c r="B8" s="152"/>
      <c r="C8" s="152"/>
      <c r="D8" s="152"/>
      <c r="E8" s="152"/>
      <c r="F8" s="152"/>
    </row>
    <row r="9" spans="1:11" ht="12.75" customHeight="1">
      <c r="A9" s="150" t="s">
        <v>405</v>
      </c>
      <c r="E9" s="186"/>
      <c r="J9" s="194"/>
      <c r="K9" s="186" t="s">
        <v>31</v>
      </c>
    </row>
    <row r="10" spans="1:11" ht="12.75" customHeight="1">
      <c r="A10" s="949" t="s">
        <v>406</v>
      </c>
      <c r="B10" s="1004" t="s">
        <v>33</v>
      </c>
      <c r="C10" s="1004"/>
      <c r="D10" s="1004"/>
      <c r="E10" s="1004"/>
      <c r="F10" s="971" t="s">
        <v>34</v>
      </c>
      <c r="G10" s="971"/>
      <c r="H10" s="971" t="s">
        <v>35</v>
      </c>
      <c r="I10" s="971"/>
      <c r="J10" s="971"/>
      <c r="K10" s="971"/>
    </row>
    <row r="11" spans="1:11" ht="12.75" customHeight="1">
      <c r="A11" s="949"/>
      <c r="B11" s="1004"/>
      <c r="C11" s="1004"/>
      <c r="D11" s="1004"/>
      <c r="E11" s="1004"/>
      <c r="F11" s="971"/>
      <c r="G11" s="971"/>
      <c r="H11" s="956" t="s">
        <v>407</v>
      </c>
      <c r="I11" s="956"/>
      <c r="J11" s="956" t="s">
        <v>407</v>
      </c>
      <c r="K11" s="956"/>
    </row>
    <row r="12" spans="1:159" ht="12.75" customHeight="1">
      <c r="A12" s="949"/>
      <c r="B12" s="1004"/>
      <c r="C12" s="1004"/>
      <c r="D12" s="1004"/>
      <c r="E12" s="1004"/>
      <c r="F12" s="971"/>
      <c r="G12" s="971"/>
      <c r="H12" s="1002" t="str">
        <f>IF(A7="&lt;SELECIONE O PERÍODO CLICANDO NA SETA AO LADO&gt;","&lt;Exercício&gt;",RIGHT(A7,4))</f>
        <v>2020</v>
      </c>
      <c r="I12" s="1002"/>
      <c r="J12" s="982">
        <f>IF(FA12=FALSE,"&lt;Exercício Anterior&gt;",H12-1)</f>
        <v>2019</v>
      </c>
      <c r="K12" s="982"/>
      <c r="FA12" s="197" t="b">
        <f>ISNUMBER(H12*1)</f>
        <v>1</v>
      </c>
      <c r="FB12" s="197">
        <f>H12*1</f>
        <v>2020</v>
      </c>
      <c r="FC12" s="150" t="str">
        <f>H12</f>
        <v>2020</v>
      </c>
    </row>
    <row r="13" spans="1:11" ht="12.75" customHeight="1">
      <c r="A13" s="198" t="s">
        <v>408</v>
      </c>
      <c r="B13" s="1001">
        <f>+B14+B23+B33+B37+B38+B39</f>
        <v>0</v>
      </c>
      <c r="C13" s="1001"/>
      <c r="D13" s="1001"/>
      <c r="E13" s="1001"/>
      <c r="F13" s="1001">
        <f>+F14+F23+F33+F37+F38+F39</f>
        <v>0</v>
      </c>
      <c r="G13" s="1001"/>
      <c r="H13" s="1001">
        <f>+H14+H23+H33+H37+H38+H39</f>
        <v>0</v>
      </c>
      <c r="I13" s="1001"/>
      <c r="J13" s="1001">
        <f>+J14+J23+J33+J37+J38+J39</f>
        <v>0</v>
      </c>
      <c r="K13" s="1001"/>
    </row>
    <row r="14" spans="1:11" ht="12.75" customHeight="1">
      <c r="A14" s="199" t="s">
        <v>409</v>
      </c>
      <c r="B14" s="975">
        <f>+B15+B19</f>
        <v>0</v>
      </c>
      <c r="C14" s="975"/>
      <c r="D14" s="975"/>
      <c r="E14" s="975"/>
      <c r="F14" s="975">
        <f>+F15+F19</f>
        <v>0</v>
      </c>
      <c r="G14" s="975"/>
      <c r="H14" s="975">
        <f>+H15+H19</f>
        <v>0</v>
      </c>
      <c r="I14" s="975"/>
      <c r="J14" s="975">
        <f>+J15+J19</f>
        <v>0</v>
      </c>
      <c r="K14" s="975"/>
    </row>
    <row r="15" spans="1:11" ht="12.75" customHeight="1">
      <c r="A15" s="200" t="s">
        <v>410</v>
      </c>
      <c r="B15" s="977">
        <f>SUM(B16:E18)</f>
        <v>0</v>
      </c>
      <c r="C15" s="977"/>
      <c r="D15" s="977"/>
      <c r="E15" s="977"/>
      <c r="F15" s="977">
        <f>SUM(F16:G18)</f>
        <v>0</v>
      </c>
      <c r="G15" s="977"/>
      <c r="H15" s="977">
        <f>SUM(H16:I18)</f>
        <v>0</v>
      </c>
      <c r="I15" s="977"/>
      <c r="J15" s="977">
        <f>SUM(J16:K18)</f>
        <v>0</v>
      </c>
      <c r="K15" s="977"/>
    </row>
    <row r="16" spans="1:11" ht="12.75" customHeight="1">
      <c r="A16" s="154" t="s">
        <v>411</v>
      </c>
      <c r="B16" s="978">
        <v>0</v>
      </c>
      <c r="C16" s="978"/>
      <c r="D16" s="978"/>
      <c r="E16" s="978"/>
      <c r="F16" s="978">
        <v>0</v>
      </c>
      <c r="G16" s="978"/>
      <c r="H16" s="920">
        <v>0</v>
      </c>
      <c r="I16" s="920"/>
      <c r="J16" s="905">
        <v>0</v>
      </c>
      <c r="K16" s="905"/>
    </row>
    <row r="17" spans="1:11" ht="12.75" customHeight="1">
      <c r="A17" s="154" t="s">
        <v>412</v>
      </c>
      <c r="B17" s="973">
        <v>0</v>
      </c>
      <c r="C17" s="973"/>
      <c r="D17" s="973"/>
      <c r="E17" s="973"/>
      <c r="F17" s="973">
        <v>0</v>
      </c>
      <c r="G17" s="973"/>
      <c r="H17" s="905">
        <v>0</v>
      </c>
      <c r="I17" s="905"/>
      <c r="J17" s="905">
        <v>0</v>
      </c>
      <c r="K17" s="905"/>
    </row>
    <row r="18" spans="1:11" ht="12.75" customHeight="1">
      <c r="A18" s="154" t="s">
        <v>413</v>
      </c>
      <c r="B18" s="973">
        <v>0</v>
      </c>
      <c r="C18" s="973"/>
      <c r="D18" s="973"/>
      <c r="E18" s="973"/>
      <c r="F18" s="973">
        <v>0</v>
      </c>
      <c r="G18" s="973"/>
      <c r="H18" s="905">
        <v>0</v>
      </c>
      <c r="I18" s="905"/>
      <c r="J18" s="905">
        <v>0</v>
      </c>
      <c r="K18" s="905"/>
    </row>
    <row r="19" spans="1:11" ht="12.75" customHeight="1">
      <c r="A19" s="200" t="s">
        <v>414</v>
      </c>
      <c r="B19" s="977">
        <f>SUM(B20:E22)</f>
        <v>0</v>
      </c>
      <c r="C19" s="977"/>
      <c r="D19" s="977"/>
      <c r="E19" s="977"/>
      <c r="F19" s="977">
        <f>SUM(F20:G22)</f>
        <v>0</v>
      </c>
      <c r="G19" s="977"/>
      <c r="H19" s="977">
        <f>SUM(H20:I22)</f>
        <v>0</v>
      </c>
      <c r="I19" s="977"/>
      <c r="J19" s="977">
        <f>SUM(J20:K22)</f>
        <v>0</v>
      </c>
      <c r="K19" s="977"/>
    </row>
    <row r="20" spans="1:11" ht="12.75" customHeight="1">
      <c r="A20" s="154" t="s">
        <v>415</v>
      </c>
      <c r="B20" s="973">
        <v>0</v>
      </c>
      <c r="C20" s="973"/>
      <c r="D20" s="973"/>
      <c r="E20" s="973"/>
      <c r="F20" s="973">
        <v>0</v>
      </c>
      <c r="G20" s="973"/>
      <c r="H20" s="905">
        <v>0</v>
      </c>
      <c r="I20" s="905"/>
      <c r="J20" s="905">
        <v>0</v>
      </c>
      <c r="K20" s="905"/>
    </row>
    <row r="21" spans="1:11" ht="12.75" customHeight="1">
      <c r="A21" s="154" t="s">
        <v>416</v>
      </c>
      <c r="B21" s="973">
        <v>0</v>
      </c>
      <c r="C21" s="973"/>
      <c r="D21" s="973"/>
      <c r="E21" s="973"/>
      <c r="F21" s="973">
        <v>0</v>
      </c>
      <c r="G21" s="973"/>
      <c r="H21" s="905">
        <v>0</v>
      </c>
      <c r="I21" s="905"/>
      <c r="J21" s="905">
        <v>0</v>
      </c>
      <c r="K21" s="905"/>
    </row>
    <row r="22" spans="1:11" ht="12.75" customHeight="1">
      <c r="A22" s="154" t="s">
        <v>413</v>
      </c>
      <c r="B22" s="973">
        <v>0</v>
      </c>
      <c r="C22" s="973"/>
      <c r="D22" s="973"/>
      <c r="E22" s="973"/>
      <c r="F22" s="973">
        <v>0</v>
      </c>
      <c r="G22" s="973"/>
      <c r="H22" s="905">
        <v>0</v>
      </c>
      <c r="I22" s="905"/>
      <c r="J22" s="905">
        <v>0</v>
      </c>
      <c r="K22" s="905"/>
    </row>
    <row r="23" spans="1:11" ht="12.75" customHeight="1">
      <c r="A23" s="199" t="s">
        <v>417</v>
      </c>
      <c r="B23" s="975">
        <f>+B24+B28+B32</f>
        <v>0</v>
      </c>
      <c r="C23" s="975"/>
      <c r="D23" s="975"/>
      <c r="E23" s="975"/>
      <c r="F23" s="975">
        <f>+F24+F28+F32</f>
        <v>0</v>
      </c>
      <c r="G23" s="975"/>
      <c r="H23" s="975">
        <f>+H24+H28+H32</f>
        <v>0</v>
      </c>
      <c r="I23" s="975"/>
      <c r="J23" s="975">
        <f>+J24+J28+J32</f>
        <v>0</v>
      </c>
      <c r="K23" s="975"/>
    </row>
    <row r="24" spans="1:11" ht="12.75" customHeight="1">
      <c r="A24" s="200" t="s">
        <v>410</v>
      </c>
      <c r="B24" s="977">
        <f>SUM(B25:E27)</f>
        <v>0</v>
      </c>
      <c r="C24" s="977"/>
      <c r="D24" s="977"/>
      <c r="E24" s="977"/>
      <c r="F24" s="977">
        <f>SUM(F25:G27)</f>
        <v>0</v>
      </c>
      <c r="G24" s="977"/>
      <c r="H24" s="977">
        <f>SUM(H25:I27)</f>
        <v>0</v>
      </c>
      <c r="I24" s="977"/>
      <c r="J24" s="977">
        <f>SUM(J25:K27)</f>
        <v>0</v>
      </c>
      <c r="K24" s="977"/>
    </row>
    <row r="25" spans="1:11" ht="12.75" customHeight="1">
      <c r="A25" s="154" t="s">
        <v>411</v>
      </c>
      <c r="B25" s="973">
        <v>0</v>
      </c>
      <c r="C25" s="973"/>
      <c r="D25" s="973"/>
      <c r="E25" s="973"/>
      <c r="F25" s="973">
        <v>0</v>
      </c>
      <c r="G25" s="973"/>
      <c r="H25" s="905">
        <v>0</v>
      </c>
      <c r="I25" s="905"/>
      <c r="J25" s="905">
        <v>0</v>
      </c>
      <c r="K25" s="905"/>
    </row>
    <row r="26" spans="1:11" ht="12.75" customHeight="1">
      <c r="A26" s="154" t="s">
        <v>412</v>
      </c>
      <c r="B26" s="973">
        <v>0</v>
      </c>
      <c r="C26" s="973"/>
      <c r="D26" s="973"/>
      <c r="E26" s="973"/>
      <c r="F26" s="973">
        <v>0</v>
      </c>
      <c r="G26" s="973"/>
      <c r="H26" s="905">
        <v>0</v>
      </c>
      <c r="I26" s="905"/>
      <c r="J26" s="905">
        <v>0</v>
      </c>
      <c r="K26" s="905"/>
    </row>
    <row r="27" spans="1:11" ht="12.75" customHeight="1">
      <c r="A27" s="154" t="s">
        <v>413</v>
      </c>
      <c r="B27" s="973">
        <v>0</v>
      </c>
      <c r="C27" s="973"/>
      <c r="D27" s="973"/>
      <c r="E27" s="973"/>
      <c r="F27" s="973">
        <v>0</v>
      </c>
      <c r="G27" s="973"/>
      <c r="H27" s="905">
        <v>0</v>
      </c>
      <c r="I27" s="905"/>
      <c r="J27" s="905">
        <v>0</v>
      </c>
      <c r="K27" s="905"/>
    </row>
    <row r="28" spans="1:11" ht="12.75" customHeight="1">
      <c r="A28" s="200" t="s">
        <v>414</v>
      </c>
      <c r="B28" s="977">
        <f>SUM(B29:E31)</f>
        <v>0</v>
      </c>
      <c r="C28" s="977"/>
      <c r="D28" s="977"/>
      <c r="E28" s="977"/>
      <c r="F28" s="977">
        <f>SUM(F29:G31)</f>
        <v>0</v>
      </c>
      <c r="G28" s="977"/>
      <c r="H28" s="977">
        <f>SUM(H29:I31)</f>
        <v>0</v>
      </c>
      <c r="I28" s="977"/>
      <c r="J28" s="977">
        <f>SUM(J29:K31)</f>
        <v>0</v>
      </c>
      <c r="K28" s="977"/>
    </row>
    <row r="29" spans="1:11" ht="12.75" customHeight="1">
      <c r="A29" s="154" t="s">
        <v>415</v>
      </c>
      <c r="B29" s="973">
        <v>0</v>
      </c>
      <c r="C29" s="973"/>
      <c r="D29" s="973"/>
      <c r="E29" s="973"/>
      <c r="F29" s="973">
        <v>0</v>
      </c>
      <c r="G29" s="973"/>
      <c r="H29" s="905">
        <v>0</v>
      </c>
      <c r="I29" s="905"/>
      <c r="J29" s="905">
        <v>0</v>
      </c>
      <c r="K29" s="905"/>
    </row>
    <row r="30" spans="1:11" ht="12.75" customHeight="1">
      <c r="A30" s="154" t="s">
        <v>416</v>
      </c>
      <c r="B30" s="973">
        <v>0</v>
      </c>
      <c r="C30" s="973"/>
      <c r="D30" s="973"/>
      <c r="E30" s="973"/>
      <c r="F30" s="973">
        <v>0</v>
      </c>
      <c r="G30" s="973"/>
      <c r="H30" s="905">
        <v>0</v>
      </c>
      <c r="I30" s="905"/>
      <c r="J30" s="905">
        <v>0</v>
      </c>
      <c r="K30" s="905"/>
    </row>
    <row r="31" spans="1:11" ht="12.75" customHeight="1">
      <c r="A31" s="154" t="s">
        <v>413</v>
      </c>
      <c r="B31" s="973">
        <v>0</v>
      </c>
      <c r="C31" s="973"/>
      <c r="D31" s="973"/>
      <c r="E31" s="973"/>
      <c r="F31" s="973">
        <v>0</v>
      </c>
      <c r="G31" s="973"/>
      <c r="H31" s="905">
        <v>0</v>
      </c>
      <c r="I31" s="905"/>
      <c r="J31" s="905">
        <v>0</v>
      </c>
      <c r="K31" s="905"/>
    </row>
    <row r="32" spans="1:11" ht="12.75" customHeight="1" hidden="1">
      <c r="A32" s="200" t="s">
        <v>418</v>
      </c>
      <c r="B32" s="973">
        <v>0</v>
      </c>
      <c r="C32" s="973"/>
      <c r="D32" s="973"/>
      <c r="E32" s="973"/>
      <c r="F32" s="973">
        <v>0</v>
      </c>
      <c r="G32" s="973"/>
      <c r="H32" s="973">
        <v>0</v>
      </c>
      <c r="I32" s="973"/>
      <c r="J32" s="973">
        <v>0</v>
      </c>
      <c r="K32" s="973"/>
    </row>
    <row r="33" spans="1:11" ht="12.75" customHeight="1">
      <c r="A33" s="199" t="s">
        <v>419</v>
      </c>
      <c r="B33" s="975">
        <f>SUM(B34:E36)</f>
        <v>0</v>
      </c>
      <c r="C33" s="975"/>
      <c r="D33" s="975"/>
      <c r="E33" s="975"/>
      <c r="F33" s="975">
        <f>SUM(F34:G36)</f>
        <v>0</v>
      </c>
      <c r="G33" s="975"/>
      <c r="H33" s="975">
        <f>SUM(H34:I36)</f>
        <v>0</v>
      </c>
      <c r="I33" s="975"/>
      <c r="J33" s="975">
        <f>SUM(J34:K36)</f>
        <v>0</v>
      </c>
      <c r="K33" s="975"/>
    </row>
    <row r="34" spans="1:11" ht="12.75" customHeight="1">
      <c r="A34" s="154" t="s">
        <v>420</v>
      </c>
      <c r="B34" s="973">
        <v>0</v>
      </c>
      <c r="C34" s="973"/>
      <c r="D34" s="973"/>
      <c r="E34" s="973"/>
      <c r="F34" s="973">
        <v>0</v>
      </c>
      <c r="G34" s="973"/>
      <c r="H34" s="905">
        <v>0</v>
      </c>
      <c r="I34" s="905"/>
      <c r="J34" s="905">
        <v>0</v>
      </c>
      <c r="K34" s="905"/>
    </row>
    <row r="35" spans="1:11" ht="12.75" customHeight="1">
      <c r="A35" s="154" t="s">
        <v>421</v>
      </c>
      <c r="B35" s="978">
        <v>0</v>
      </c>
      <c r="C35" s="978"/>
      <c r="D35" s="978"/>
      <c r="E35" s="978"/>
      <c r="F35" s="978">
        <v>0</v>
      </c>
      <c r="G35" s="978"/>
      <c r="H35" s="920">
        <v>0</v>
      </c>
      <c r="I35" s="920"/>
      <c r="J35" s="905">
        <v>0</v>
      </c>
      <c r="K35" s="905"/>
    </row>
    <row r="36" spans="1:11" ht="12.75" customHeight="1">
      <c r="A36" s="154" t="s">
        <v>422</v>
      </c>
      <c r="B36" s="978">
        <v>0</v>
      </c>
      <c r="C36" s="978"/>
      <c r="D36" s="978"/>
      <c r="E36" s="978"/>
      <c r="F36" s="978">
        <v>0</v>
      </c>
      <c r="G36" s="978"/>
      <c r="H36" s="920">
        <v>0</v>
      </c>
      <c r="I36" s="920"/>
      <c r="J36" s="905">
        <v>0</v>
      </c>
      <c r="K36" s="905"/>
    </row>
    <row r="37" spans="1:11" ht="12.75" customHeight="1">
      <c r="A37" s="199" t="s">
        <v>423</v>
      </c>
      <c r="B37" s="973">
        <v>0</v>
      </c>
      <c r="C37" s="973"/>
      <c r="D37" s="973"/>
      <c r="E37" s="973"/>
      <c r="F37" s="973">
        <v>0</v>
      </c>
      <c r="G37" s="973"/>
      <c r="H37" s="973">
        <v>0</v>
      </c>
      <c r="I37" s="973"/>
      <c r="J37" s="973">
        <v>0</v>
      </c>
      <c r="K37" s="973"/>
    </row>
    <row r="38" spans="1:11" ht="12.75" customHeight="1" hidden="1">
      <c r="A38" s="199" t="s">
        <v>424</v>
      </c>
      <c r="B38" s="973"/>
      <c r="C38" s="973"/>
      <c r="D38" s="973"/>
      <c r="E38" s="973"/>
      <c r="F38" s="973"/>
      <c r="G38" s="973"/>
      <c r="H38" s="973"/>
      <c r="I38" s="973"/>
      <c r="J38" s="973"/>
      <c r="K38" s="973"/>
    </row>
    <row r="39" spans="1:11" ht="12.75" customHeight="1">
      <c r="A39" s="199" t="s">
        <v>425</v>
      </c>
      <c r="B39" s="975">
        <f>SUM(B40:E42)</f>
        <v>0</v>
      </c>
      <c r="C39" s="975"/>
      <c r="D39" s="975"/>
      <c r="E39" s="975"/>
      <c r="F39" s="975">
        <f>SUM(F40:G42)</f>
        <v>0</v>
      </c>
      <c r="G39" s="975"/>
      <c r="H39" s="975">
        <f>SUM(H40:I42)</f>
        <v>0</v>
      </c>
      <c r="I39" s="975"/>
      <c r="J39" s="975">
        <f>SUM(J40:K42)</f>
        <v>0</v>
      </c>
      <c r="K39" s="975"/>
    </row>
    <row r="40" spans="1:11" ht="12.75" customHeight="1">
      <c r="A40" s="154" t="s">
        <v>426</v>
      </c>
      <c r="B40" s="978">
        <v>0</v>
      </c>
      <c r="C40" s="978"/>
      <c r="D40" s="978"/>
      <c r="E40" s="978"/>
      <c r="F40" s="978">
        <v>0</v>
      </c>
      <c r="G40" s="978"/>
      <c r="H40" s="920">
        <v>0</v>
      </c>
      <c r="I40" s="920"/>
      <c r="J40" s="905">
        <v>0</v>
      </c>
      <c r="K40" s="905"/>
    </row>
    <row r="41" spans="1:11" ht="12.75" customHeight="1">
      <c r="A41" s="153" t="s">
        <v>427</v>
      </c>
      <c r="B41" s="973">
        <v>0</v>
      </c>
      <c r="C41" s="973"/>
      <c r="D41" s="973"/>
      <c r="E41" s="973"/>
      <c r="F41" s="973">
        <v>0</v>
      </c>
      <c r="G41" s="973"/>
      <c r="H41" s="905">
        <v>0</v>
      </c>
      <c r="I41" s="905"/>
      <c r="J41" s="905">
        <v>0</v>
      </c>
      <c r="K41" s="905"/>
    </row>
    <row r="42" spans="1:11" ht="12.75" customHeight="1">
      <c r="A42" s="154" t="s">
        <v>428</v>
      </c>
      <c r="B42" s="973">
        <v>0</v>
      </c>
      <c r="C42" s="973"/>
      <c r="D42" s="973"/>
      <c r="E42" s="973"/>
      <c r="F42" s="973">
        <v>0</v>
      </c>
      <c r="G42" s="973"/>
      <c r="H42" s="905">
        <v>0</v>
      </c>
      <c r="I42" s="905"/>
      <c r="J42" s="905">
        <v>0</v>
      </c>
      <c r="K42" s="905"/>
    </row>
    <row r="43" spans="1:11" ht="12.75" customHeight="1">
      <c r="A43" s="201" t="s">
        <v>429</v>
      </c>
      <c r="B43" s="1001">
        <f>SUM(B44:E46)</f>
        <v>0</v>
      </c>
      <c r="C43" s="1001"/>
      <c r="D43" s="1001"/>
      <c r="E43" s="1001"/>
      <c r="F43" s="1001">
        <f>SUM(F44:G46)</f>
        <v>0</v>
      </c>
      <c r="G43" s="1001"/>
      <c r="H43" s="1001">
        <f>SUM(H44:I46)</f>
        <v>0</v>
      </c>
      <c r="I43" s="1001"/>
      <c r="J43" s="1001">
        <f>SUM(J44:K46)</f>
        <v>0</v>
      </c>
      <c r="K43" s="1001"/>
    </row>
    <row r="44" spans="1:11" ht="12.75" customHeight="1">
      <c r="A44" s="154" t="s">
        <v>430</v>
      </c>
      <c r="B44" s="973">
        <v>0</v>
      </c>
      <c r="C44" s="973"/>
      <c r="D44" s="973"/>
      <c r="E44" s="973"/>
      <c r="F44" s="973">
        <v>0</v>
      </c>
      <c r="G44" s="973"/>
      <c r="H44" s="905">
        <v>0</v>
      </c>
      <c r="I44" s="905"/>
      <c r="J44" s="905">
        <v>0</v>
      </c>
      <c r="K44" s="905"/>
    </row>
    <row r="45" spans="1:11" ht="12.75" customHeight="1">
      <c r="A45" s="154" t="s">
        <v>431</v>
      </c>
      <c r="B45" s="973">
        <v>0</v>
      </c>
      <c r="C45" s="973"/>
      <c r="D45" s="973"/>
      <c r="E45" s="973"/>
      <c r="F45" s="973">
        <v>0</v>
      </c>
      <c r="G45" s="973"/>
      <c r="H45" s="905">
        <v>0</v>
      </c>
      <c r="I45" s="905"/>
      <c r="J45" s="905">
        <v>0</v>
      </c>
      <c r="K45" s="905"/>
    </row>
    <row r="46" spans="1:11" ht="12.75" customHeight="1">
      <c r="A46" s="154" t="s">
        <v>432</v>
      </c>
      <c r="B46" s="973">
        <v>0</v>
      </c>
      <c r="C46" s="973"/>
      <c r="D46" s="973"/>
      <c r="E46" s="973"/>
      <c r="F46" s="973">
        <v>0</v>
      </c>
      <c r="G46" s="973"/>
      <c r="H46" s="905">
        <v>0</v>
      </c>
      <c r="I46" s="905"/>
      <c r="J46" s="905">
        <v>0</v>
      </c>
      <c r="K46" s="905"/>
    </row>
    <row r="47" spans="1:11" ht="12.75" customHeight="1">
      <c r="A47" s="202" t="s">
        <v>433</v>
      </c>
      <c r="B47" s="999">
        <f>B13+B43-B41</f>
        <v>0</v>
      </c>
      <c r="C47" s="999"/>
      <c r="D47" s="999"/>
      <c r="E47" s="999"/>
      <c r="F47" s="1000">
        <f>F13+F43-F41</f>
        <v>0</v>
      </c>
      <c r="G47" s="1000"/>
      <c r="H47" s="1000">
        <f>H13+H43-H41</f>
        <v>0</v>
      </c>
      <c r="I47" s="1000"/>
      <c r="J47" s="1000">
        <f>J13+J43-J41</f>
        <v>0</v>
      </c>
      <c r="K47" s="1000"/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97" t="s">
        <v>434</v>
      </c>
      <c r="B49" s="971" t="s">
        <v>117</v>
      </c>
      <c r="C49" s="971"/>
      <c r="D49" s="998" t="s">
        <v>118</v>
      </c>
      <c r="E49" s="998"/>
      <c r="F49" s="971" t="s">
        <v>119</v>
      </c>
      <c r="G49" s="971"/>
      <c r="H49" s="971" t="s">
        <v>120</v>
      </c>
      <c r="I49" s="971"/>
      <c r="J49" s="971" t="s">
        <v>191</v>
      </c>
      <c r="K49" s="971"/>
    </row>
    <row r="50" spans="1:11" ht="17.25" customHeight="1">
      <c r="A50" s="997"/>
      <c r="B50" s="971"/>
      <c r="C50" s="971"/>
      <c r="D50" s="998"/>
      <c r="E50" s="998"/>
      <c r="F50" s="203" t="s">
        <v>407</v>
      </c>
      <c r="G50" s="203" t="s">
        <v>407</v>
      </c>
      <c r="H50" s="203" t="s">
        <v>407</v>
      </c>
      <c r="I50" s="203" t="s">
        <v>407</v>
      </c>
      <c r="J50" s="204" t="s">
        <v>435</v>
      </c>
      <c r="K50" s="204" t="s">
        <v>435</v>
      </c>
    </row>
    <row r="51" spans="1:11" ht="25.5" customHeight="1">
      <c r="A51" s="997"/>
      <c r="B51" s="971"/>
      <c r="C51" s="971"/>
      <c r="D51" s="998"/>
      <c r="E51" s="998"/>
      <c r="F51" s="205" t="str">
        <f>+$H$12</f>
        <v>2020</v>
      </c>
      <c r="G51" s="205">
        <f>+$J$12</f>
        <v>2019</v>
      </c>
      <c r="H51" s="205" t="str">
        <f>+$H$12</f>
        <v>2020</v>
      </c>
      <c r="I51" s="205">
        <f>+$J$12</f>
        <v>2019</v>
      </c>
      <c r="J51" s="205" t="str">
        <f>+$H$12</f>
        <v>2020</v>
      </c>
      <c r="K51" s="196">
        <f>+$J$12</f>
        <v>2019</v>
      </c>
    </row>
    <row r="52" spans="1:11" ht="12.75" customHeight="1">
      <c r="A52" s="206" t="s">
        <v>436</v>
      </c>
      <c r="B52" s="996">
        <f>SUM(B53:C54)</f>
        <v>0</v>
      </c>
      <c r="C52" s="996"/>
      <c r="D52" s="996">
        <f>SUM(D53:E54)</f>
        <v>0</v>
      </c>
      <c r="E52" s="996"/>
      <c r="F52" s="207">
        <f aca="true" t="shared" si="0" ref="F52:K52">SUM(F53:F54)</f>
        <v>0</v>
      </c>
      <c r="G52" s="207">
        <f t="shared" si="0"/>
        <v>0</v>
      </c>
      <c r="H52" s="207">
        <f t="shared" si="0"/>
        <v>0</v>
      </c>
      <c r="I52" s="207">
        <f t="shared" si="0"/>
        <v>0</v>
      </c>
      <c r="J52" s="207">
        <f t="shared" si="0"/>
        <v>0</v>
      </c>
      <c r="K52" s="208">
        <f t="shared" si="0"/>
        <v>0</v>
      </c>
    </row>
    <row r="53" spans="1:11" ht="12.75" customHeight="1">
      <c r="A53" s="209" t="s">
        <v>437</v>
      </c>
      <c r="B53" s="941">
        <v>0</v>
      </c>
      <c r="C53" s="941"/>
      <c r="D53" s="941">
        <v>0</v>
      </c>
      <c r="E53" s="941"/>
      <c r="F53" s="210">
        <v>0</v>
      </c>
      <c r="G53" s="210">
        <v>0</v>
      </c>
      <c r="H53" s="210">
        <v>0</v>
      </c>
      <c r="I53" s="210">
        <v>0</v>
      </c>
      <c r="J53" s="211">
        <v>0</v>
      </c>
      <c r="K53" s="210">
        <v>0</v>
      </c>
    </row>
    <row r="54" spans="1:11" ht="12.75" customHeight="1">
      <c r="A54" s="209" t="s">
        <v>438</v>
      </c>
      <c r="B54" s="941">
        <v>0</v>
      </c>
      <c r="C54" s="941"/>
      <c r="D54" s="941">
        <v>0</v>
      </c>
      <c r="E54" s="941"/>
      <c r="F54" s="210">
        <v>0</v>
      </c>
      <c r="G54" s="210">
        <v>0</v>
      </c>
      <c r="H54" s="210">
        <v>0</v>
      </c>
      <c r="I54" s="210">
        <v>0</v>
      </c>
      <c r="J54" s="211">
        <v>0</v>
      </c>
      <c r="K54" s="210">
        <v>0</v>
      </c>
    </row>
    <row r="55" spans="1:11" ht="12.75" customHeight="1">
      <c r="A55" s="212" t="s">
        <v>439</v>
      </c>
      <c r="B55" s="996">
        <f>+B56+B60+B64</f>
        <v>0</v>
      </c>
      <c r="C55" s="996"/>
      <c r="D55" s="996">
        <f>+D56+D60+D64</f>
        <v>0</v>
      </c>
      <c r="E55" s="996"/>
      <c r="F55" s="213">
        <f aca="true" t="shared" si="1" ref="F55:K55">+F56+F60+F64</f>
        <v>0</v>
      </c>
      <c r="G55" s="213">
        <f t="shared" si="1"/>
        <v>0</v>
      </c>
      <c r="H55" s="213">
        <f t="shared" si="1"/>
        <v>0</v>
      </c>
      <c r="I55" s="213">
        <f t="shared" si="1"/>
        <v>0</v>
      </c>
      <c r="J55" s="213">
        <f t="shared" si="1"/>
        <v>0</v>
      </c>
      <c r="K55" s="208">
        <f t="shared" si="1"/>
        <v>0</v>
      </c>
    </row>
    <row r="56" spans="1:11" ht="12.75" customHeight="1">
      <c r="A56" s="214" t="s">
        <v>440</v>
      </c>
      <c r="B56" s="995">
        <f>SUM(B57:C59)</f>
        <v>0</v>
      </c>
      <c r="C56" s="995"/>
      <c r="D56" s="995">
        <f>SUM(D57:E59)</f>
        <v>0</v>
      </c>
      <c r="E56" s="995"/>
      <c r="F56" s="215">
        <f aca="true" t="shared" si="2" ref="F56:K56">SUM(F57:F59)</f>
        <v>0</v>
      </c>
      <c r="G56" s="215">
        <f t="shared" si="2"/>
        <v>0</v>
      </c>
      <c r="H56" s="215">
        <f t="shared" si="2"/>
        <v>0</v>
      </c>
      <c r="I56" s="215">
        <f t="shared" si="2"/>
        <v>0</v>
      </c>
      <c r="J56" s="215">
        <f t="shared" si="2"/>
        <v>0</v>
      </c>
      <c r="K56" s="216">
        <f t="shared" si="2"/>
        <v>0</v>
      </c>
    </row>
    <row r="57" spans="1:11" ht="12.75" customHeight="1">
      <c r="A57" s="209" t="s">
        <v>441</v>
      </c>
      <c r="B57" s="917">
        <v>0</v>
      </c>
      <c r="C57" s="917"/>
      <c r="D57" s="917">
        <v>0</v>
      </c>
      <c r="E57" s="917"/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0">
        <v>0</v>
      </c>
    </row>
    <row r="58" spans="1:11" ht="12.75" customHeight="1">
      <c r="A58" s="209" t="s">
        <v>442</v>
      </c>
      <c r="B58" s="917">
        <v>0</v>
      </c>
      <c r="C58" s="917"/>
      <c r="D58" s="917">
        <v>0</v>
      </c>
      <c r="E58" s="917"/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0">
        <v>0</v>
      </c>
    </row>
    <row r="59" spans="1:11" ht="12.75" customHeight="1">
      <c r="A59" s="209" t="s">
        <v>443</v>
      </c>
      <c r="B59" s="917">
        <v>0</v>
      </c>
      <c r="C59" s="917"/>
      <c r="D59" s="917">
        <v>0</v>
      </c>
      <c r="E59" s="917"/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0">
        <v>0</v>
      </c>
    </row>
    <row r="60" spans="1:11" ht="12.75" customHeight="1">
      <c r="A60" s="214" t="s">
        <v>444</v>
      </c>
      <c r="B60" s="995">
        <f>SUM(B61:C63)</f>
        <v>0</v>
      </c>
      <c r="C60" s="995"/>
      <c r="D60" s="995">
        <f>SUM(D61:E63)</f>
        <v>0</v>
      </c>
      <c r="E60" s="995"/>
      <c r="F60" s="215">
        <f aca="true" t="shared" si="3" ref="F60:K60">SUM(F61:F63)</f>
        <v>0</v>
      </c>
      <c r="G60" s="215">
        <f t="shared" si="3"/>
        <v>0</v>
      </c>
      <c r="H60" s="215">
        <f t="shared" si="3"/>
        <v>0</v>
      </c>
      <c r="I60" s="215">
        <f t="shared" si="3"/>
        <v>0</v>
      </c>
      <c r="J60" s="215">
        <f t="shared" si="3"/>
        <v>0</v>
      </c>
      <c r="K60" s="216">
        <f t="shared" si="3"/>
        <v>0</v>
      </c>
    </row>
    <row r="61" spans="1:11" ht="12.75" customHeight="1">
      <c r="A61" s="209" t="s">
        <v>445</v>
      </c>
      <c r="B61" s="917">
        <v>0</v>
      </c>
      <c r="C61" s="917"/>
      <c r="D61" s="917">
        <v>0</v>
      </c>
      <c r="E61" s="917"/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0">
        <v>0</v>
      </c>
    </row>
    <row r="62" spans="1:11" ht="12.75" customHeight="1">
      <c r="A62" s="209" t="s">
        <v>442</v>
      </c>
      <c r="B62" s="917">
        <v>0</v>
      </c>
      <c r="C62" s="917"/>
      <c r="D62" s="917">
        <v>0</v>
      </c>
      <c r="E62" s="917"/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0">
        <v>0</v>
      </c>
    </row>
    <row r="63" spans="1:11" ht="12.75" customHeight="1">
      <c r="A63" s="209" t="s">
        <v>443</v>
      </c>
      <c r="B63" s="917">
        <v>0</v>
      </c>
      <c r="C63" s="917"/>
      <c r="D63" s="917">
        <v>0</v>
      </c>
      <c r="E63" s="917"/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0">
        <v>0</v>
      </c>
    </row>
    <row r="64" spans="1:11" ht="12.75" customHeight="1">
      <c r="A64" s="214" t="s">
        <v>446</v>
      </c>
      <c r="B64" s="995">
        <f>SUM(B65:C66)</f>
        <v>0</v>
      </c>
      <c r="C64" s="995"/>
      <c r="D64" s="995">
        <f>SUM(D65:E66)</f>
        <v>0</v>
      </c>
      <c r="E64" s="995"/>
      <c r="F64" s="215">
        <f aca="true" t="shared" si="4" ref="F64:K64">SUM(F65:F66)</f>
        <v>0</v>
      </c>
      <c r="G64" s="215">
        <f t="shared" si="4"/>
        <v>0</v>
      </c>
      <c r="H64" s="215">
        <f t="shared" si="4"/>
        <v>0</v>
      </c>
      <c r="I64" s="215">
        <f t="shared" si="4"/>
        <v>0</v>
      </c>
      <c r="J64" s="215">
        <f t="shared" si="4"/>
        <v>0</v>
      </c>
      <c r="K64" s="216">
        <f t="shared" si="4"/>
        <v>0</v>
      </c>
    </row>
    <row r="65" spans="1:11" ht="12.75" customHeight="1">
      <c r="A65" s="209" t="s">
        <v>447</v>
      </c>
      <c r="B65" s="917">
        <v>0</v>
      </c>
      <c r="C65" s="917"/>
      <c r="D65" s="917">
        <v>0</v>
      </c>
      <c r="E65" s="917"/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0">
        <v>0</v>
      </c>
    </row>
    <row r="66" spans="1:11" ht="12.75" customHeight="1">
      <c r="A66" s="209" t="s">
        <v>448</v>
      </c>
      <c r="B66" s="917">
        <v>0</v>
      </c>
      <c r="C66" s="917"/>
      <c r="D66" s="917">
        <v>0</v>
      </c>
      <c r="E66" s="917"/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0">
        <v>0</v>
      </c>
    </row>
    <row r="67" spans="1:11" ht="12.75" customHeight="1">
      <c r="A67" s="218" t="s">
        <v>449</v>
      </c>
      <c r="B67" s="993">
        <f>+B55+B52</f>
        <v>0</v>
      </c>
      <c r="C67" s="993"/>
      <c r="D67" s="993">
        <f>+D55+D52</f>
        <v>0</v>
      </c>
      <c r="E67" s="993"/>
      <c r="F67" s="219">
        <f aca="true" t="shared" si="5" ref="F67:K67">+F55+F52</f>
        <v>0</v>
      </c>
      <c r="G67" s="219">
        <f t="shared" si="5"/>
        <v>0</v>
      </c>
      <c r="H67" s="219">
        <f t="shared" si="5"/>
        <v>0</v>
      </c>
      <c r="I67" s="219">
        <f t="shared" si="5"/>
        <v>0</v>
      </c>
      <c r="J67" s="219">
        <f t="shared" si="5"/>
        <v>0</v>
      </c>
      <c r="K67" s="220">
        <f t="shared" si="5"/>
        <v>0</v>
      </c>
    </row>
    <row r="68" spans="1:6" s="136" customFormat="1" ht="6" customHeight="1">
      <c r="A68" s="221"/>
      <c r="B68" s="222"/>
      <c r="C68" s="222"/>
      <c r="D68" s="223"/>
      <c r="E68" s="223"/>
      <c r="F68" s="223"/>
    </row>
    <row r="69" spans="1:19" ht="12.75" customHeight="1">
      <c r="A69" s="224" t="s">
        <v>450</v>
      </c>
      <c r="B69" s="993">
        <f>+B47-B67</f>
        <v>0</v>
      </c>
      <c r="C69" s="993"/>
      <c r="D69" s="994">
        <f>+F47-D67</f>
        <v>0</v>
      </c>
      <c r="E69" s="994"/>
      <c r="F69" s="225">
        <f>+H47-F67</f>
        <v>0</v>
      </c>
      <c r="G69" s="219">
        <f>+J47-G67</f>
        <v>0</v>
      </c>
      <c r="H69" s="219">
        <f>+H47-H67</f>
        <v>0</v>
      </c>
      <c r="I69" s="219">
        <f>+J47-I67</f>
        <v>0</v>
      </c>
      <c r="J69" s="226"/>
      <c r="K69" s="226"/>
      <c r="L69" s="227"/>
      <c r="M69" s="227"/>
      <c r="N69" s="227"/>
      <c r="O69" s="227"/>
      <c r="P69" s="227"/>
      <c r="Q69" s="227"/>
      <c r="R69" s="227"/>
      <c r="S69" s="227"/>
    </row>
    <row r="70" spans="1:19" ht="6" customHeight="1">
      <c r="A70" s="228"/>
      <c r="B70" s="229"/>
      <c r="C70" s="229"/>
      <c r="D70" s="230"/>
      <c r="E70" s="230"/>
      <c r="F70" s="231"/>
      <c r="G70" s="231"/>
      <c r="H70" s="231"/>
      <c r="I70" s="231"/>
      <c r="J70" s="232"/>
      <c r="K70" s="232"/>
      <c r="L70" s="227"/>
      <c r="M70" s="227"/>
      <c r="N70" s="227"/>
      <c r="O70" s="227"/>
      <c r="P70" s="227"/>
      <c r="Q70" s="227"/>
      <c r="R70" s="227"/>
      <c r="S70" s="227"/>
    </row>
    <row r="71" spans="1:19" ht="12.75" customHeight="1">
      <c r="A71" s="224" t="s">
        <v>451</v>
      </c>
      <c r="B71" s="993" t="s">
        <v>452</v>
      </c>
      <c r="C71" s="993"/>
      <c r="D71" s="993"/>
      <c r="E71" s="993"/>
      <c r="F71" s="993"/>
      <c r="G71" s="993"/>
      <c r="H71" s="993"/>
      <c r="I71" s="993"/>
      <c r="J71" s="993"/>
      <c r="K71" s="993"/>
      <c r="L71" s="227"/>
      <c r="M71" s="227"/>
      <c r="N71" s="227"/>
      <c r="O71" s="227"/>
      <c r="P71" s="227"/>
      <c r="Q71" s="227"/>
      <c r="R71" s="227"/>
      <c r="S71" s="227"/>
    </row>
    <row r="72" spans="1:19" ht="12.75" customHeight="1">
      <c r="A72" s="233" t="s">
        <v>453</v>
      </c>
      <c r="B72" s="936"/>
      <c r="C72" s="936"/>
      <c r="D72" s="936"/>
      <c r="E72" s="936"/>
      <c r="F72" s="936"/>
      <c r="G72" s="936"/>
      <c r="H72" s="936"/>
      <c r="I72" s="936"/>
      <c r="J72" s="936"/>
      <c r="K72" s="936"/>
      <c r="L72" s="227"/>
      <c r="M72" s="227"/>
      <c r="N72" s="227"/>
      <c r="O72" s="227"/>
      <c r="P72" s="227"/>
      <c r="Q72" s="227"/>
      <c r="R72" s="227"/>
      <c r="S72" s="227"/>
    </row>
    <row r="73" spans="1:19" ht="6" customHeight="1">
      <c r="A73" s="228"/>
      <c r="B73" s="229"/>
      <c r="C73" s="229"/>
      <c r="D73" s="230"/>
      <c r="E73" s="230"/>
      <c r="F73" s="231"/>
      <c r="G73" s="231"/>
      <c r="H73" s="231"/>
      <c r="I73" s="231"/>
      <c r="J73" s="232"/>
      <c r="K73" s="232"/>
      <c r="L73" s="227"/>
      <c r="M73" s="227"/>
      <c r="N73" s="227"/>
      <c r="O73" s="227"/>
      <c r="P73" s="227"/>
      <c r="Q73" s="227"/>
      <c r="R73" s="227"/>
      <c r="S73" s="227"/>
    </row>
    <row r="74" spans="1:11" ht="12.75" customHeight="1">
      <c r="A74" s="234" t="s">
        <v>454</v>
      </c>
      <c r="B74" s="925" t="s">
        <v>452</v>
      </c>
      <c r="C74" s="925"/>
      <c r="D74" s="925"/>
      <c r="E74" s="925"/>
      <c r="F74" s="925"/>
      <c r="G74" s="925"/>
      <c r="H74" s="925"/>
      <c r="I74" s="925"/>
      <c r="J74" s="925"/>
      <c r="K74" s="925"/>
    </row>
    <row r="75" spans="1:11" ht="12.75" customHeight="1">
      <c r="A75" s="235" t="s">
        <v>453</v>
      </c>
      <c r="B75" s="992"/>
      <c r="C75" s="992"/>
      <c r="D75" s="992"/>
      <c r="E75" s="992"/>
      <c r="F75" s="992"/>
      <c r="G75" s="992"/>
      <c r="H75" s="992"/>
      <c r="I75" s="992"/>
      <c r="J75" s="992"/>
      <c r="K75" s="992"/>
    </row>
    <row r="76" spans="1:6" ht="6" customHeight="1">
      <c r="A76" s="136"/>
      <c r="B76" s="236"/>
      <c r="C76" s="237"/>
      <c r="D76" s="237"/>
      <c r="E76" s="237"/>
      <c r="F76" s="237"/>
    </row>
    <row r="77" spans="1:11" ht="12.75" customHeight="1">
      <c r="A77" s="954" t="s">
        <v>455</v>
      </c>
      <c r="B77" s="955" t="s">
        <v>456</v>
      </c>
      <c r="C77" s="955"/>
      <c r="D77" s="955"/>
      <c r="E77" s="955"/>
      <c r="F77" s="955"/>
      <c r="G77" s="955"/>
      <c r="H77" s="955"/>
      <c r="I77" s="955"/>
      <c r="J77" s="955"/>
      <c r="K77" s="955"/>
    </row>
    <row r="78" spans="1:11" ht="11.25" customHeight="1">
      <c r="A78" s="954"/>
      <c r="B78" s="955"/>
      <c r="C78" s="955"/>
      <c r="D78" s="955"/>
      <c r="E78" s="955"/>
      <c r="F78" s="955"/>
      <c r="G78" s="955"/>
      <c r="H78" s="955"/>
      <c r="I78" s="955"/>
      <c r="J78" s="955"/>
      <c r="K78" s="955"/>
    </row>
    <row r="79" spans="1:11" ht="11.25" customHeight="1">
      <c r="A79" s="954"/>
      <c r="B79" s="955"/>
      <c r="C79" s="955"/>
      <c r="D79" s="955"/>
      <c r="E79" s="955"/>
      <c r="F79" s="955"/>
      <c r="G79" s="955"/>
      <c r="H79" s="955"/>
      <c r="I79" s="955"/>
      <c r="J79" s="955"/>
      <c r="K79" s="955"/>
    </row>
    <row r="80" spans="1:11" ht="12.75" customHeight="1">
      <c r="A80" s="238" t="s">
        <v>457</v>
      </c>
      <c r="B80" s="985"/>
      <c r="C80" s="985"/>
      <c r="D80" s="985"/>
      <c r="E80" s="985"/>
      <c r="F80" s="985"/>
      <c r="G80" s="985"/>
      <c r="H80" s="985"/>
      <c r="I80" s="985"/>
      <c r="J80" s="985"/>
      <c r="K80" s="985"/>
    </row>
    <row r="81" spans="1:11" ht="12.75" customHeight="1">
      <c r="A81" s="238" t="s">
        <v>458</v>
      </c>
      <c r="B81" s="986"/>
      <c r="C81" s="986"/>
      <c r="D81" s="986"/>
      <c r="E81" s="986"/>
      <c r="F81" s="986"/>
      <c r="G81" s="986"/>
      <c r="H81" s="986"/>
      <c r="I81" s="986"/>
      <c r="J81" s="986"/>
      <c r="K81" s="986"/>
    </row>
    <row r="82" spans="1:11" ht="12.75" customHeight="1">
      <c r="A82" s="238" t="s">
        <v>459</v>
      </c>
      <c r="B82" s="986"/>
      <c r="C82" s="986"/>
      <c r="D82" s="986"/>
      <c r="E82" s="986"/>
      <c r="F82" s="986"/>
      <c r="G82" s="986"/>
      <c r="H82" s="986"/>
      <c r="I82" s="986"/>
      <c r="J82" s="986"/>
      <c r="K82" s="986"/>
    </row>
    <row r="83" spans="1:11" ht="12.75" customHeight="1">
      <c r="A83" s="239" t="s">
        <v>460</v>
      </c>
      <c r="B83" s="989"/>
      <c r="C83" s="989"/>
      <c r="D83" s="989"/>
      <c r="E83" s="989"/>
      <c r="F83" s="989"/>
      <c r="G83" s="989"/>
      <c r="H83" s="989"/>
      <c r="I83" s="989"/>
      <c r="J83" s="989"/>
      <c r="K83" s="989"/>
    </row>
    <row r="84" spans="1:7" ht="6" customHeight="1">
      <c r="A84" s="240"/>
      <c r="B84" s="240"/>
      <c r="C84" s="240"/>
      <c r="D84" s="240"/>
      <c r="E84" s="240"/>
      <c r="F84" s="240"/>
      <c r="G84" s="136"/>
    </row>
    <row r="85" spans="1:11" ht="12.75" customHeight="1">
      <c r="A85" s="990" t="s">
        <v>461</v>
      </c>
      <c r="B85" s="991" t="s">
        <v>462</v>
      </c>
      <c r="C85" s="991"/>
      <c r="D85" s="991"/>
      <c r="E85" s="991"/>
      <c r="F85" s="991"/>
      <c r="G85" s="991"/>
      <c r="H85" s="991"/>
      <c r="I85" s="991"/>
      <c r="J85" s="991"/>
      <c r="K85" s="991"/>
    </row>
    <row r="86" spans="1:11" ht="12.75" customHeight="1">
      <c r="A86" s="990"/>
      <c r="B86" s="971" t="str">
        <f>+F51</f>
        <v>2020</v>
      </c>
      <c r="C86" s="971"/>
      <c r="D86" s="971"/>
      <c r="E86" s="971"/>
      <c r="F86" s="971"/>
      <c r="G86" s="971"/>
      <c r="H86" s="971">
        <f>+G51</f>
        <v>2019</v>
      </c>
      <c r="I86" s="971"/>
      <c r="J86" s="971"/>
      <c r="K86" s="971"/>
    </row>
    <row r="87" spans="1:11" ht="12.75" customHeight="1">
      <c r="A87" s="241" t="s">
        <v>463</v>
      </c>
      <c r="B87" s="984">
        <v>31525584.88</v>
      </c>
      <c r="C87" s="984"/>
      <c r="D87" s="984"/>
      <c r="E87" s="984"/>
      <c r="F87" s="984"/>
      <c r="G87" s="984"/>
      <c r="H87" s="985">
        <v>40243199.02</v>
      </c>
      <c r="I87" s="985"/>
      <c r="J87" s="985"/>
      <c r="K87" s="985"/>
    </row>
    <row r="88" spans="1:11" ht="12.75" customHeight="1">
      <c r="A88" s="242" t="s">
        <v>464</v>
      </c>
      <c r="B88" s="978">
        <v>310761020.21</v>
      </c>
      <c r="C88" s="978"/>
      <c r="D88" s="978"/>
      <c r="E88" s="978"/>
      <c r="F88" s="978"/>
      <c r="G88" s="978"/>
      <c r="H88" s="986">
        <v>266418887.86</v>
      </c>
      <c r="I88" s="986"/>
      <c r="J88" s="986"/>
      <c r="K88" s="986"/>
    </row>
    <row r="89" spans="1:11" ht="12.75" customHeight="1">
      <c r="A89" s="243" t="s">
        <v>465</v>
      </c>
      <c r="B89" s="987">
        <v>45994634.59</v>
      </c>
      <c r="C89" s="987"/>
      <c r="D89" s="987"/>
      <c r="E89" s="987"/>
      <c r="F89" s="987"/>
      <c r="G89" s="987"/>
      <c r="H89" s="988">
        <v>45994634.59</v>
      </c>
      <c r="I89" s="988"/>
      <c r="J89" s="988"/>
      <c r="K89" s="988"/>
    </row>
    <row r="90" spans="1:6" s="136" customFormat="1" ht="6" customHeight="1">
      <c r="A90" s="244"/>
      <c r="B90" s="245"/>
      <c r="C90" s="245"/>
      <c r="D90" s="30"/>
      <c r="E90" s="30"/>
      <c r="F90" s="30"/>
    </row>
    <row r="91" spans="1:11" ht="15.75" customHeight="1">
      <c r="A91" s="979" t="s">
        <v>466</v>
      </c>
      <c r="B91" s="979"/>
      <c r="C91" s="979"/>
      <c r="D91" s="979"/>
      <c r="E91" s="979"/>
      <c r="F91" s="979"/>
      <c r="G91" s="979"/>
      <c r="H91" s="979"/>
      <c r="I91" s="979"/>
      <c r="J91" s="979"/>
      <c r="K91" s="979"/>
    </row>
    <row r="92" spans="1:11" ht="12.75" customHeight="1">
      <c r="A92" s="980" t="s">
        <v>467</v>
      </c>
      <c r="B92" s="981" t="s">
        <v>33</v>
      </c>
      <c r="C92" s="981"/>
      <c r="D92" s="981"/>
      <c r="E92" s="981"/>
      <c r="F92" s="982" t="s">
        <v>34</v>
      </c>
      <c r="G92" s="982"/>
      <c r="H92" s="982" t="s">
        <v>35</v>
      </c>
      <c r="I92" s="982"/>
      <c r="J92" s="982"/>
      <c r="K92" s="982"/>
    </row>
    <row r="93" spans="1:11" ht="12.75" customHeight="1">
      <c r="A93" s="980"/>
      <c r="B93" s="981"/>
      <c r="C93" s="981"/>
      <c r="D93" s="981"/>
      <c r="E93" s="981"/>
      <c r="F93" s="982"/>
      <c r="G93" s="982"/>
      <c r="H93" s="956" t="s">
        <v>407</v>
      </c>
      <c r="I93" s="956"/>
      <c r="J93" s="956" t="s">
        <v>407</v>
      </c>
      <c r="K93" s="956"/>
    </row>
    <row r="94" spans="1:11" ht="12.75" customHeight="1">
      <c r="A94" s="980"/>
      <c r="B94" s="981"/>
      <c r="C94" s="981"/>
      <c r="D94" s="981"/>
      <c r="E94" s="981"/>
      <c r="F94" s="982"/>
      <c r="G94" s="982"/>
      <c r="H94" s="982" t="str">
        <f>+F51</f>
        <v>2020</v>
      </c>
      <c r="I94" s="982"/>
      <c r="J94" s="983">
        <f>+G51</f>
        <v>2019</v>
      </c>
      <c r="K94" s="983"/>
    </row>
    <row r="95" spans="1:11" ht="12.75" customHeight="1">
      <c r="A95" s="246" t="s">
        <v>468</v>
      </c>
      <c r="B95" s="974">
        <f>+B96+B105+B115+B119+B120</f>
        <v>0</v>
      </c>
      <c r="C95" s="974"/>
      <c r="D95" s="974"/>
      <c r="E95" s="974"/>
      <c r="F95" s="974">
        <f>+F96+F105+F115+F119+F120</f>
        <v>0</v>
      </c>
      <c r="G95" s="974"/>
      <c r="H95" s="974">
        <f>+H96+H105+H115+H119+H120</f>
        <v>0</v>
      </c>
      <c r="I95" s="974"/>
      <c r="J95" s="974">
        <f>+J96+J105+J115+J119+J120</f>
        <v>0</v>
      </c>
      <c r="K95" s="974"/>
    </row>
    <row r="96" spans="1:11" ht="12.75" customHeight="1">
      <c r="A96" s="199" t="s">
        <v>469</v>
      </c>
      <c r="B96" s="975">
        <f>+B97+B101</f>
        <v>0</v>
      </c>
      <c r="C96" s="975"/>
      <c r="D96" s="975"/>
      <c r="E96" s="975"/>
      <c r="F96" s="975">
        <f>+F97+F101</f>
        <v>0</v>
      </c>
      <c r="G96" s="975"/>
      <c r="H96" s="975">
        <f>+H97+H101</f>
        <v>0</v>
      </c>
      <c r="I96" s="975"/>
      <c r="J96" s="975">
        <f>+J97+J101</f>
        <v>0</v>
      </c>
      <c r="K96" s="975"/>
    </row>
    <row r="97" spans="1:11" ht="12.75" customHeight="1">
      <c r="A97" s="200" t="s">
        <v>470</v>
      </c>
      <c r="B97" s="977">
        <f>SUM(B98:E100)</f>
        <v>0</v>
      </c>
      <c r="C97" s="977"/>
      <c r="D97" s="977"/>
      <c r="E97" s="977"/>
      <c r="F97" s="977">
        <f>SUM(F98:G100)</f>
        <v>0</v>
      </c>
      <c r="G97" s="977"/>
      <c r="H97" s="977">
        <f>SUM(H98:I100)</f>
        <v>0</v>
      </c>
      <c r="I97" s="977"/>
      <c r="J97" s="977">
        <f>SUM(J98:K100)</f>
        <v>0</v>
      </c>
      <c r="K97" s="977"/>
    </row>
    <row r="98" spans="1:11" ht="12.75" customHeight="1">
      <c r="A98" s="154" t="s">
        <v>471</v>
      </c>
      <c r="B98" s="978">
        <v>0</v>
      </c>
      <c r="C98" s="978"/>
      <c r="D98" s="978"/>
      <c r="E98" s="978"/>
      <c r="F98" s="978">
        <v>0</v>
      </c>
      <c r="G98" s="978"/>
      <c r="H98" s="920">
        <v>0</v>
      </c>
      <c r="I98" s="920"/>
      <c r="J98" s="920">
        <v>0</v>
      </c>
      <c r="K98" s="920"/>
    </row>
    <row r="99" spans="1:11" ht="12.75" customHeight="1">
      <c r="A99" s="154" t="s">
        <v>472</v>
      </c>
      <c r="B99" s="978">
        <v>0</v>
      </c>
      <c r="C99" s="978"/>
      <c r="D99" s="978"/>
      <c r="E99" s="978"/>
      <c r="F99" s="978">
        <v>0</v>
      </c>
      <c r="G99" s="978"/>
      <c r="H99" s="920">
        <v>0</v>
      </c>
      <c r="I99" s="920"/>
      <c r="J99" s="920">
        <v>0</v>
      </c>
      <c r="K99" s="920"/>
    </row>
    <row r="100" spans="1:11" ht="12.75" customHeight="1">
      <c r="A100" s="154" t="s">
        <v>473</v>
      </c>
      <c r="B100" s="978">
        <v>0</v>
      </c>
      <c r="C100" s="978"/>
      <c r="D100" s="978"/>
      <c r="E100" s="978"/>
      <c r="F100" s="978">
        <v>0</v>
      </c>
      <c r="G100" s="978"/>
      <c r="H100" s="920">
        <v>0</v>
      </c>
      <c r="I100" s="920"/>
      <c r="J100" s="920">
        <v>0</v>
      </c>
      <c r="K100" s="920"/>
    </row>
    <row r="101" spans="1:11" ht="12.75" customHeight="1">
      <c r="A101" s="200" t="s">
        <v>474</v>
      </c>
      <c r="B101" s="977">
        <f>SUM(B102:E104)</f>
        <v>0</v>
      </c>
      <c r="C101" s="977"/>
      <c r="D101" s="977"/>
      <c r="E101" s="977"/>
      <c r="F101" s="977">
        <f>SUM(F102:G104)</f>
        <v>0</v>
      </c>
      <c r="G101" s="977"/>
      <c r="H101" s="977">
        <f>SUM(H102:I104)</f>
        <v>0</v>
      </c>
      <c r="I101" s="977"/>
      <c r="J101" s="977">
        <f>SUM(J102:K104)</f>
        <v>0</v>
      </c>
      <c r="K101" s="977"/>
    </row>
    <row r="102" spans="1:11" ht="12.75" customHeight="1">
      <c r="A102" s="154" t="s">
        <v>471</v>
      </c>
      <c r="B102" s="973">
        <v>0</v>
      </c>
      <c r="C102" s="973"/>
      <c r="D102" s="973"/>
      <c r="E102" s="973"/>
      <c r="F102" s="973">
        <v>0</v>
      </c>
      <c r="G102" s="973"/>
      <c r="H102" s="905">
        <v>0</v>
      </c>
      <c r="I102" s="905"/>
      <c r="J102" s="905">
        <v>0</v>
      </c>
      <c r="K102" s="905"/>
    </row>
    <row r="103" spans="1:11" ht="12.75" customHeight="1">
      <c r="A103" s="154" t="s">
        <v>472</v>
      </c>
      <c r="B103" s="973">
        <v>0</v>
      </c>
      <c r="C103" s="973"/>
      <c r="D103" s="973"/>
      <c r="E103" s="973"/>
      <c r="F103" s="973">
        <v>0</v>
      </c>
      <c r="G103" s="973"/>
      <c r="H103" s="905">
        <v>0</v>
      </c>
      <c r="I103" s="905"/>
      <c r="J103" s="905">
        <v>0</v>
      </c>
      <c r="K103" s="905"/>
    </row>
    <row r="104" spans="1:11" ht="12.75" customHeight="1">
      <c r="A104" s="154" t="s">
        <v>473</v>
      </c>
      <c r="B104" s="973">
        <v>0</v>
      </c>
      <c r="C104" s="973"/>
      <c r="D104" s="973"/>
      <c r="E104" s="973"/>
      <c r="F104" s="973">
        <v>0</v>
      </c>
      <c r="G104" s="973"/>
      <c r="H104" s="905">
        <v>0</v>
      </c>
      <c r="I104" s="905"/>
      <c r="J104" s="905">
        <v>0</v>
      </c>
      <c r="K104" s="905"/>
    </row>
    <row r="105" spans="1:11" ht="12.75" customHeight="1">
      <c r="A105" s="199" t="s">
        <v>475</v>
      </c>
      <c r="B105" s="975">
        <f>+B106+B110+B114</f>
        <v>0</v>
      </c>
      <c r="C105" s="975"/>
      <c r="D105" s="975"/>
      <c r="E105" s="975"/>
      <c r="F105" s="975">
        <f>+F106+F110+F114</f>
        <v>0</v>
      </c>
      <c r="G105" s="975"/>
      <c r="H105" s="975">
        <f>+H106+H110+H114</f>
        <v>0</v>
      </c>
      <c r="I105" s="975"/>
      <c r="J105" s="975">
        <f>+J106+J110+J114</f>
        <v>0</v>
      </c>
      <c r="K105" s="975"/>
    </row>
    <row r="106" spans="1:11" ht="12.75" customHeight="1">
      <c r="A106" s="200" t="s">
        <v>470</v>
      </c>
      <c r="B106" s="977">
        <f>SUM(B107:E109)</f>
        <v>0</v>
      </c>
      <c r="C106" s="977"/>
      <c r="D106" s="977"/>
      <c r="E106" s="977"/>
      <c r="F106" s="977">
        <f>SUM(F107:G109)</f>
        <v>0</v>
      </c>
      <c r="G106" s="977"/>
      <c r="H106" s="977">
        <f>SUM(H107:I109)</f>
        <v>0</v>
      </c>
      <c r="I106" s="977"/>
      <c r="J106" s="977">
        <f>SUM(J107:K109)</f>
        <v>0</v>
      </c>
      <c r="K106" s="977"/>
    </row>
    <row r="107" spans="1:11" ht="12.75" customHeight="1">
      <c r="A107" s="154" t="s">
        <v>471</v>
      </c>
      <c r="B107" s="978">
        <v>0</v>
      </c>
      <c r="C107" s="978"/>
      <c r="D107" s="978"/>
      <c r="E107" s="978"/>
      <c r="F107" s="978">
        <v>0</v>
      </c>
      <c r="G107" s="978"/>
      <c r="H107" s="920">
        <v>0</v>
      </c>
      <c r="I107" s="920"/>
      <c r="J107" s="920">
        <v>0</v>
      </c>
      <c r="K107" s="920"/>
    </row>
    <row r="108" spans="1:11" ht="12.75" customHeight="1">
      <c r="A108" s="154" t="s">
        <v>472</v>
      </c>
      <c r="B108" s="973">
        <v>0</v>
      </c>
      <c r="C108" s="973"/>
      <c r="D108" s="973"/>
      <c r="E108" s="973"/>
      <c r="F108" s="973">
        <v>0</v>
      </c>
      <c r="G108" s="973"/>
      <c r="H108" s="905">
        <v>0</v>
      </c>
      <c r="I108" s="905"/>
      <c r="J108" s="905">
        <v>0</v>
      </c>
      <c r="K108" s="905"/>
    </row>
    <row r="109" spans="1:11" ht="12.75" customHeight="1">
      <c r="A109" s="154" t="s">
        <v>473</v>
      </c>
      <c r="B109" s="973">
        <v>0</v>
      </c>
      <c r="C109" s="973"/>
      <c r="D109" s="973"/>
      <c r="E109" s="973"/>
      <c r="F109" s="973">
        <v>0</v>
      </c>
      <c r="G109" s="973"/>
      <c r="H109" s="905">
        <v>0</v>
      </c>
      <c r="I109" s="905"/>
      <c r="J109" s="905">
        <v>0</v>
      </c>
      <c r="K109" s="905"/>
    </row>
    <row r="110" spans="1:11" ht="12.75" customHeight="1">
      <c r="A110" s="200" t="s">
        <v>474</v>
      </c>
      <c r="B110" s="977">
        <f>SUM(B111:E113)</f>
        <v>0</v>
      </c>
      <c r="C110" s="977"/>
      <c r="D110" s="977"/>
      <c r="E110" s="977"/>
      <c r="F110" s="977">
        <f>SUM(F111:G113)</f>
        <v>0</v>
      </c>
      <c r="G110" s="977"/>
      <c r="H110" s="977">
        <f>SUM(H111:I113)</f>
        <v>0</v>
      </c>
      <c r="I110" s="977"/>
      <c r="J110" s="977">
        <f>SUM(J111:K113)</f>
        <v>0</v>
      </c>
      <c r="K110" s="977"/>
    </row>
    <row r="111" spans="1:11" ht="12.75" customHeight="1">
      <c r="A111" s="154" t="s">
        <v>471</v>
      </c>
      <c r="B111" s="973">
        <v>0</v>
      </c>
      <c r="C111" s="973"/>
      <c r="D111" s="973"/>
      <c r="E111" s="973"/>
      <c r="F111" s="973">
        <v>0</v>
      </c>
      <c r="G111" s="973"/>
      <c r="H111" s="905">
        <v>0</v>
      </c>
      <c r="I111" s="905"/>
      <c r="J111" s="905">
        <v>0</v>
      </c>
      <c r="K111" s="905"/>
    </row>
    <row r="112" spans="1:11" ht="12.75" customHeight="1">
      <c r="A112" s="154" t="s">
        <v>472</v>
      </c>
      <c r="B112" s="973">
        <v>0</v>
      </c>
      <c r="C112" s="973"/>
      <c r="D112" s="973"/>
      <c r="E112" s="973"/>
      <c r="F112" s="973">
        <v>0</v>
      </c>
      <c r="G112" s="973"/>
      <c r="H112" s="905">
        <v>0</v>
      </c>
      <c r="I112" s="905"/>
      <c r="J112" s="905">
        <v>0</v>
      </c>
      <c r="K112" s="905"/>
    </row>
    <row r="113" spans="1:11" ht="12.75" customHeight="1">
      <c r="A113" s="154" t="s">
        <v>473</v>
      </c>
      <c r="B113" s="973">
        <v>0</v>
      </c>
      <c r="C113" s="973"/>
      <c r="D113" s="973"/>
      <c r="E113" s="973"/>
      <c r="F113" s="973">
        <v>0</v>
      </c>
      <c r="G113" s="973"/>
      <c r="H113" s="905">
        <v>0</v>
      </c>
      <c r="I113" s="905"/>
      <c r="J113" s="905">
        <v>0</v>
      </c>
      <c r="K113" s="905"/>
    </row>
    <row r="114" spans="1:11" ht="12.75" customHeight="1" hidden="1">
      <c r="A114" s="200" t="s">
        <v>476</v>
      </c>
      <c r="B114" s="976">
        <v>0</v>
      </c>
      <c r="C114" s="976"/>
      <c r="D114" s="976"/>
      <c r="E114" s="976"/>
      <c r="F114" s="976">
        <v>0</v>
      </c>
      <c r="G114" s="976"/>
      <c r="H114" s="976">
        <v>0</v>
      </c>
      <c r="I114" s="976"/>
      <c r="J114" s="976">
        <v>0</v>
      </c>
      <c r="K114" s="976"/>
    </row>
    <row r="115" spans="1:11" ht="12.75" customHeight="1">
      <c r="A115" s="199" t="s">
        <v>477</v>
      </c>
      <c r="B115" s="975">
        <f>SUM(B116:E118)</f>
        <v>0</v>
      </c>
      <c r="C115" s="975"/>
      <c r="D115" s="975"/>
      <c r="E115" s="975"/>
      <c r="F115" s="975">
        <f>SUM(F116:G118)</f>
        <v>0</v>
      </c>
      <c r="G115" s="975"/>
      <c r="H115" s="975">
        <f>SUM(H116:I118)</f>
        <v>0</v>
      </c>
      <c r="I115" s="975"/>
      <c r="J115" s="975">
        <f>SUM(J116:K118)</f>
        <v>0</v>
      </c>
      <c r="K115" s="975"/>
    </row>
    <row r="116" spans="1:11" ht="12.75" customHeight="1">
      <c r="A116" s="154" t="s">
        <v>478</v>
      </c>
      <c r="B116" s="973">
        <v>0</v>
      </c>
      <c r="C116" s="973"/>
      <c r="D116" s="973"/>
      <c r="E116" s="973"/>
      <c r="F116" s="973">
        <v>0</v>
      </c>
      <c r="G116" s="973"/>
      <c r="H116" s="905">
        <v>0</v>
      </c>
      <c r="I116" s="905"/>
      <c r="J116" s="905">
        <v>0</v>
      </c>
      <c r="K116" s="905"/>
    </row>
    <row r="117" spans="1:11" ht="12.75" customHeight="1">
      <c r="A117" s="154" t="s">
        <v>479</v>
      </c>
      <c r="B117" s="973">
        <v>0</v>
      </c>
      <c r="C117" s="973"/>
      <c r="D117" s="973"/>
      <c r="E117" s="973"/>
      <c r="F117" s="973">
        <v>0</v>
      </c>
      <c r="G117" s="973"/>
      <c r="H117" s="905">
        <v>0</v>
      </c>
      <c r="I117" s="905"/>
      <c r="J117" s="905">
        <v>0</v>
      </c>
      <c r="K117" s="905"/>
    </row>
    <row r="118" spans="1:11" ht="12.75" customHeight="1">
      <c r="A118" s="154" t="s">
        <v>480</v>
      </c>
      <c r="B118" s="973">
        <v>0</v>
      </c>
      <c r="C118" s="973"/>
      <c r="D118" s="973"/>
      <c r="E118" s="973"/>
      <c r="F118" s="973">
        <v>0</v>
      </c>
      <c r="G118" s="973"/>
      <c r="H118" s="905">
        <v>0</v>
      </c>
      <c r="I118" s="905"/>
      <c r="J118" s="905">
        <v>0</v>
      </c>
      <c r="K118" s="905"/>
    </row>
    <row r="119" spans="1:11" ht="12.75" customHeight="1">
      <c r="A119" s="199" t="s">
        <v>481</v>
      </c>
      <c r="B119" s="973">
        <v>0</v>
      </c>
      <c r="C119" s="973"/>
      <c r="D119" s="973"/>
      <c r="E119" s="973"/>
      <c r="F119" s="973">
        <v>0</v>
      </c>
      <c r="G119" s="973"/>
      <c r="H119" s="973">
        <v>0</v>
      </c>
      <c r="I119" s="973"/>
      <c r="J119" s="973">
        <v>0</v>
      </c>
      <c r="K119" s="973"/>
    </row>
    <row r="120" spans="1:11" ht="12.75" customHeight="1">
      <c r="A120" s="199" t="s">
        <v>396</v>
      </c>
      <c r="B120" s="975">
        <f>SUM(B121:E122)</f>
        <v>0</v>
      </c>
      <c r="C120" s="975"/>
      <c r="D120" s="975"/>
      <c r="E120" s="975"/>
      <c r="F120" s="975">
        <f>SUM(F121:G122)</f>
        <v>0</v>
      </c>
      <c r="G120" s="975"/>
      <c r="H120" s="975">
        <f>SUM(H121:I122)</f>
        <v>0</v>
      </c>
      <c r="I120" s="975"/>
      <c r="J120" s="975">
        <f>SUM(J121:K122)</f>
        <v>0</v>
      </c>
      <c r="K120" s="975"/>
    </row>
    <row r="121" spans="1:11" ht="12.75" customHeight="1">
      <c r="A121" s="154" t="s">
        <v>482</v>
      </c>
      <c r="B121" s="973">
        <v>0</v>
      </c>
      <c r="C121" s="973"/>
      <c r="D121" s="973"/>
      <c r="E121" s="973"/>
      <c r="F121" s="973">
        <v>0</v>
      </c>
      <c r="G121" s="973"/>
      <c r="H121" s="905">
        <v>0</v>
      </c>
      <c r="I121" s="905"/>
      <c r="J121" s="905">
        <v>0</v>
      </c>
      <c r="K121" s="905"/>
    </row>
    <row r="122" spans="1:11" ht="12.75" customHeight="1">
      <c r="A122" s="154" t="s">
        <v>483</v>
      </c>
      <c r="B122" s="973">
        <v>0</v>
      </c>
      <c r="C122" s="973"/>
      <c r="D122" s="973"/>
      <c r="E122" s="973"/>
      <c r="F122" s="973">
        <v>0</v>
      </c>
      <c r="G122" s="973"/>
      <c r="H122" s="905">
        <v>0</v>
      </c>
      <c r="I122" s="905"/>
      <c r="J122" s="905">
        <v>0</v>
      </c>
      <c r="K122" s="905"/>
    </row>
    <row r="123" spans="1:11" ht="12.75" customHeight="1">
      <c r="A123" s="153" t="s">
        <v>484</v>
      </c>
      <c r="B123" s="974">
        <f>SUM(B124:E126)</f>
        <v>0</v>
      </c>
      <c r="C123" s="974"/>
      <c r="D123" s="974"/>
      <c r="E123" s="974"/>
      <c r="F123" s="974">
        <f>SUM(F124:G126)</f>
        <v>0</v>
      </c>
      <c r="G123" s="974"/>
      <c r="H123" s="974">
        <f>SUM(H124:I126)</f>
        <v>0</v>
      </c>
      <c r="I123" s="974"/>
      <c r="J123" s="974">
        <f>SUM(J124:K126)</f>
        <v>0</v>
      </c>
      <c r="K123" s="974"/>
    </row>
    <row r="124" spans="1:11" ht="12.75" customHeight="1">
      <c r="A124" s="154" t="s">
        <v>485</v>
      </c>
      <c r="B124" s="973">
        <v>0</v>
      </c>
      <c r="C124" s="973"/>
      <c r="D124" s="973"/>
      <c r="E124" s="973"/>
      <c r="F124" s="973">
        <v>0</v>
      </c>
      <c r="G124" s="973"/>
      <c r="H124" s="905">
        <v>0</v>
      </c>
      <c r="I124" s="905"/>
      <c r="J124" s="905">
        <v>0</v>
      </c>
      <c r="K124" s="905"/>
    </row>
    <row r="125" spans="1:11" ht="12.75" customHeight="1">
      <c r="A125" s="154" t="s">
        <v>486</v>
      </c>
      <c r="B125" s="973">
        <v>0</v>
      </c>
      <c r="C125" s="973"/>
      <c r="D125" s="973"/>
      <c r="E125" s="973"/>
      <c r="F125" s="973">
        <v>0</v>
      </c>
      <c r="G125" s="973"/>
      <c r="H125" s="905">
        <v>0</v>
      </c>
      <c r="I125" s="905"/>
      <c r="J125" s="905">
        <v>0</v>
      </c>
      <c r="K125" s="905"/>
    </row>
    <row r="126" spans="1:11" ht="12.75" customHeight="1">
      <c r="A126" s="154" t="s">
        <v>487</v>
      </c>
      <c r="B126" s="973">
        <v>0</v>
      </c>
      <c r="C126" s="973"/>
      <c r="D126" s="973"/>
      <c r="E126" s="973"/>
      <c r="F126" s="973">
        <v>0</v>
      </c>
      <c r="G126" s="973"/>
      <c r="H126" s="905">
        <v>0</v>
      </c>
      <c r="I126" s="905"/>
      <c r="J126" s="905">
        <v>0</v>
      </c>
      <c r="K126" s="905"/>
    </row>
    <row r="127" spans="1:11" ht="14.25" customHeight="1">
      <c r="A127" s="247" t="s">
        <v>488</v>
      </c>
      <c r="B127" s="969">
        <f>+B95+B123</f>
        <v>0</v>
      </c>
      <c r="C127" s="969"/>
      <c r="D127" s="969"/>
      <c r="E127" s="969"/>
      <c r="F127" s="969">
        <f>+F95+F123</f>
        <v>0</v>
      </c>
      <c r="G127" s="969"/>
      <c r="H127" s="969">
        <f>+H95+H123</f>
        <v>0</v>
      </c>
      <c r="I127" s="969"/>
      <c r="J127" s="969">
        <f>+J95+J123</f>
        <v>0</v>
      </c>
      <c r="K127" s="969"/>
    </row>
    <row r="128" spans="1:6" ht="6" customHeight="1">
      <c r="A128" s="30"/>
      <c r="B128" s="24"/>
      <c r="C128" s="24"/>
      <c r="D128" s="248"/>
      <c r="E128" s="248"/>
      <c r="F128" s="248"/>
    </row>
    <row r="129" spans="1:11" ht="24.75" customHeight="1">
      <c r="A129" s="970" t="s">
        <v>434</v>
      </c>
      <c r="B129" s="971" t="s">
        <v>117</v>
      </c>
      <c r="C129" s="971"/>
      <c r="D129" s="972" t="s">
        <v>118</v>
      </c>
      <c r="E129" s="972"/>
      <c r="F129" s="971" t="s">
        <v>119</v>
      </c>
      <c r="G129" s="971"/>
      <c r="H129" s="971" t="s">
        <v>120</v>
      </c>
      <c r="I129" s="971"/>
      <c r="J129" s="971" t="s">
        <v>191</v>
      </c>
      <c r="K129" s="971"/>
    </row>
    <row r="130" spans="1:11" ht="12.75" customHeight="1">
      <c r="A130" s="970"/>
      <c r="B130" s="971"/>
      <c r="C130" s="971"/>
      <c r="D130" s="972"/>
      <c r="E130" s="972"/>
      <c r="F130" s="203" t="s">
        <v>407</v>
      </c>
      <c r="G130" s="203" t="s">
        <v>407</v>
      </c>
      <c r="H130" s="203" t="s">
        <v>407</v>
      </c>
      <c r="I130" s="203" t="s">
        <v>407</v>
      </c>
      <c r="J130" s="204" t="s">
        <v>435</v>
      </c>
      <c r="K130" s="204" t="s">
        <v>435</v>
      </c>
    </row>
    <row r="131" spans="1:11" ht="25.5" customHeight="1">
      <c r="A131" s="970"/>
      <c r="B131" s="971"/>
      <c r="C131" s="971"/>
      <c r="D131" s="972"/>
      <c r="E131" s="972"/>
      <c r="F131" s="205" t="str">
        <f>+H$12</f>
        <v>2020</v>
      </c>
      <c r="G131" s="205">
        <f>+J$12</f>
        <v>2019</v>
      </c>
      <c r="H131" s="205" t="str">
        <f>+F131</f>
        <v>2020</v>
      </c>
      <c r="I131" s="205">
        <f>G131</f>
        <v>2019</v>
      </c>
      <c r="J131" s="196" t="str">
        <f>+F131</f>
        <v>2020</v>
      </c>
      <c r="K131" s="196">
        <f>I131</f>
        <v>2019</v>
      </c>
    </row>
    <row r="132" spans="1:11" ht="12.75" customHeight="1">
      <c r="A132" s="249" t="s">
        <v>489</v>
      </c>
      <c r="B132" s="968">
        <f>SUM(B133:C134)</f>
        <v>0</v>
      </c>
      <c r="C132" s="968"/>
      <c r="D132" s="968">
        <f>SUM(D133:E134)</f>
        <v>0</v>
      </c>
      <c r="E132" s="968"/>
      <c r="F132" s="250">
        <f aca="true" t="shared" si="6" ref="F132:K132">SUM(F133:F134)</f>
        <v>0</v>
      </c>
      <c r="G132" s="250">
        <f t="shared" si="6"/>
        <v>0</v>
      </c>
      <c r="H132" s="250">
        <f t="shared" si="6"/>
        <v>0</v>
      </c>
      <c r="I132" s="250">
        <f t="shared" si="6"/>
        <v>0</v>
      </c>
      <c r="J132" s="250">
        <f t="shared" si="6"/>
        <v>0</v>
      </c>
      <c r="K132" s="251">
        <f t="shared" si="6"/>
        <v>0</v>
      </c>
    </row>
    <row r="133" spans="1:11" ht="12.75" customHeight="1">
      <c r="A133" s="252" t="s">
        <v>490</v>
      </c>
      <c r="B133" s="920">
        <v>0</v>
      </c>
      <c r="C133" s="920"/>
      <c r="D133" s="920">
        <v>0</v>
      </c>
      <c r="E133" s="920"/>
      <c r="F133" s="253">
        <v>0</v>
      </c>
      <c r="G133" s="253">
        <v>0</v>
      </c>
      <c r="H133" s="253">
        <v>0</v>
      </c>
      <c r="I133" s="253">
        <v>0</v>
      </c>
      <c r="J133" s="109">
        <v>0</v>
      </c>
      <c r="K133" s="98">
        <v>0</v>
      </c>
    </row>
    <row r="134" spans="1:11" ht="12.75" customHeight="1">
      <c r="A134" s="252" t="s">
        <v>491</v>
      </c>
      <c r="B134" s="920">
        <v>0</v>
      </c>
      <c r="C134" s="920"/>
      <c r="D134" s="920">
        <v>0</v>
      </c>
      <c r="E134" s="920"/>
      <c r="F134" s="253">
        <v>0</v>
      </c>
      <c r="G134" s="253">
        <v>0</v>
      </c>
      <c r="H134" s="253">
        <v>0</v>
      </c>
      <c r="I134" s="253">
        <v>0</v>
      </c>
      <c r="J134" s="109">
        <v>0</v>
      </c>
      <c r="K134" s="98">
        <v>0</v>
      </c>
    </row>
    <row r="135" spans="1:11" ht="12.75" customHeight="1">
      <c r="A135" s="254" t="s">
        <v>492</v>
      </c>
      <c r="B135" s="967">
        <f>+B136+B140+B144</f>
        <v>0</v>
      </c>
      <c r="C135" s="967"/>
      <c r="D135" s="967">
        <f>+D136+D140+D144</f>
        <v>0</v>
      </c>
      <c r="E135" s="967"/>
      <c r="F135" s="250">
        <f aca="true" t="shared" si="7" ref="F135:K135">+F136+F140+F144</f>
        <v>0</v>
      </c>
      <c r="G135" s="250">
        <f t="shared" si="7"/>
        <v>0</v>
      </c>
      <c r="H135" s="250">
        <f t="shared" si="7"/>
        <v>0</v>
      </c>
      <c r="I135" s="250">
        <f t="shared" si="7"/>
        <v>0</v>
      </c>
      <c r="J135" s="250">
        <f t="shared" si="7"/>
        <v>0</v>
      </c>
      <c r="K135" s="255">
        <f t="shared" si="7"/>
        <v>0</v>
      </c>
    </row>
    <row r="136" spans="1:11" ht="12.75" customHeight="1">
      <c r="A136" s="252" t="s">
        <v>493</v>
      </c>
      <c r="B136" s="967">
        <f>+B137+B138+B139</f>
        <v>0</v>
      </c>
      <c r="C136" s="967"/>
      <c r="D136" s="967">
        <f>+D137+D138+D139</f>
        <v>0</v>
      </c>
      <c r="E136" s="967"/>
      <c r="F136" s="250">
        <f aca="true" t="shared" si="8" ref="F136:K136">SUM(F137:F139)</f>
        <v>0</v>
      </c>
      <c r="G136" s="250">
        <f t="shared" si="8"/>
        <v>0</v>
      </c>
      <c r="H136" s="250">
        <f t="shared" si="8"/>
        <v>0</v>
      </c>
      <c r="I136" s="250">
        <f t="shared" si="8"/>
        <v>0</v>
      </c>
      <c r="J136" s="250">
        <f t="shared" si="8"/>
        <v>0</v>
      </c>
      <c r="K136" s="255">
        <f t="shared" si="8"/>
        <v>0</v>
      </c>
    </row>
    <row r="137" spans="1:11" ht="12.75" customHeight="1">
      <c r="A137" s="252" t="s">
        <v>494</v>
      </c>
      <c r="B137" s="905">
        <v>0</v>
      </c>
      <c r="C137" s="905"/>
      <c r="D137" s="905">
        <v>0</v>
      </c>
      <c r="E137" s="905"/>
      <c r="F137" s="217">
        <v>0</v>
      </c>
      <c r="G137" s="217">
        <v>0</v>
      </c>
      <c r="H137" s="217">
        <v>0</v>
      </c>
      <c r="I137" s="217">
        <v>0</v>
      </c>
      <c r="J137" s="217">
        <v>0</v>
      </c>
      <c r="K137" s="210">
        <v>0</v>
      </c>
    </row>
    <row r="138" spans="1:11" ht="12.75" customHeight="1">
      <c r="A138" s="252" t="s">
        <v>495</v>
      </c>
      <c r="B138" s="905">
        <v>0</v>
      </c>
      <c r="C138" s="905"/>
      <c r="D138" s="905">
        <v>0</v>
      </c>
      <c r="E138" s="905"/>
      <c r="F138" s="217">
        <v>0</v>
      </c>
      <c r="G138" s="217">
        <v>0</v>
      </c>
      <c r="H138" s="217">
        <v>0</v>
      </c>
      <c r="I138" s="217">
        <v>0</v>
      </c>
      <c r="J138" s="217">
        <v>0</v>
      </c>
      <c r="K138" s="210">
        <v>0</v>
      </c>
    </row>
    <row r="139" spans="1:11" ht="12.75" customHeight="1">
      <c r="A139" s="252" t="s">
        <v>496</v>
      </c>
      <c r="B139" s="905">
        <v>0</v>
      </c>
      <c r="C139" s="905"/>
      <c r="D139" s="905">
        <v>0</v>
      </c>
      <c r="E139" s="905"/>
      <c r="F139" s="217">
        <v>0</v>
      </c>
      <c r="G139" s="217">
        <v>0</v>
      </c>
      <c r="H139" s="217">
        <v>0</v>
      </c>
      <c r="I139" s="217">
        <v>0</v>
      </c>
      <c r="J139" s="217">
        <v>0</v>
      </c>
      <c r="K139" s="210">
        <v>0</v>
      </c>
    </row>
    <row r="140" spans="1:11" ht="12.75" customHeight="1">
      <c r="A140" s="252" t="s">
        <v>497</v>
      </c>
      <c r="B140" s="967">
        <f>+B141+B142+B143</f>
        <v>0</v>
      </c>
      <c r="C140" s="967"/>
      <c r="D140" s="967">
        <f>+D141+D142+D143</f>
        <v>0</v>
      </c>
      <c r="E140" s="967"/>
      <c r="F140" s="250">
        <f aca="true" t="shared" si="9" ref="F140:K140">SUM(F141:F143)</f>
        <v>0</v>
      </c>
      <c r="G140" s="250">
        <f t="shared" si="9"/>
        <v>0</v>
      </c>
      <c r="H140" s="250">
        <f t="shared" si="9"/>
        <v>0</v>
      </c>
      <c r="I140" s="250">
        <f t="shared" si="9"/>
        <v>0</v>
      </c>
      <c r="J140" s="250">
        <f t="shared" si="9"/>
        <v>0</v>
      </c>
      <c r="K140" s="255">
        <f t="shared" si="9"/>
        <v>0</v>
      </c>
    </row>
    <row r="141" spans="1:11" ht="12.75" customHeight="1">
      <c r="A141" s="252" t="s">
        <v>498</v>
      </c>
      <c r="B141" s="905">
        <v>0</v>
      </c>
      <c r="C141" s="905"/>
      <c r="D141" s="905">
        <v>0</v>
      </c>
      <c r="E141" s="905"/>
      <c r="F141" s="217">
        <v>0</v>
      </c>
      <c r="G141" s="217">
        <v>0</v>
      </c>
      <c r="H141" s="217">
        <v>0</v>
      </c>
      <c r="I141" s="217">
        <v>0</v>
      </c>
      <c r="J141" s="217">
        <v>0</v>
      </c>
      <c r="K141" s="210">
        <v>0</v>
      </c>
    </row>
    <row r="142" spans="1:11" ht="12.75" customHeight="1">
      <c r="A142" s="252" t="s">
        <v>495</v>
      </c>
      <c r="B142" s="905">
        <v>0</v>
      </c>
      <c r="C142" s="905"/>
      <c r="D142" s="905">
        <v>0</v>
      </c>
      <c r="E142" s="905"/>
      <c r="F142" s="217">
        <v>0</v>
      </c>
      <c r="G142" s="217">
        <v>0</v>
      </c>
      <c r="H142" s="217">
        <v>0</v>
      </c>
      <c r="I142" s="217">
        <v>0</v>
      </c>
      <c r="J142" s="217">
        <v>0</v>
      </c>
      <c r="K142" s="210">
        <v>0</v>
      </c>
    </row>
    <row r="143" spans="1:11" ht="12.75" customHeight="1">
      <c r="A143" s="252" t="s">
        <v>496</v>
      </c>
      <c r="B143" s="905">
        <v>0</v>
      </c>
      <c r="C143" s="905"/>
      <c r="D143" s="905">
        <v>0</v>
      </c>
      <c r="E143" s="905"/>
      <c r="F143" s="217">
        <v>0</v>
      </c>
      <c r="G143" s="217">
        <v>0</v>
      </c>
      <c r="H143" s="217">
        <v>0</v>
      </c>
      <c r="I143" s="217">
        <v>0</v>
      </c>
      <c r="J143" s="217">
        <v>0</v>
      </c>
      <c r="K143" s="210">
        <v>0</v>
      </c>
    </row>
    <row r="144" spans="1:11" ht="12.75" customHeight="1">
      <c r="A144" s="252" t="s">
        <v>499</v>
      </c>
      <c r="B144" s="967">
        <f>+B145+B146</f>
        <v>0</v>
      </c>
      <c r="C144" s="967"/>
      <c r="D144" s="967">
        <f>+D145+D146</f>
        <v>0</v>
      </c>
      <c r="E144" s="967"/>
      <c r="F144" s="250">
        <f aca="true" t="shared" si="10" ref="F144:K144">+F145+F146</f>
        <v>0</v>
      </c>
      <c r="G144" s="250">
        <f t="shared" si="10"/>
        <v>0</v>
      </c>
      <c r="H144" s="250">
        <f t="shared" si="10"/>
        <v>0</v>
      </c>
      <c r="I144" s="250">
        <f t="shared" si="10"/>
        <v>0</v>
      </c>
      <c r="J144" s="250">
        <f t="shared" si="10"/>
        <v>0</v>
      </c>
      <c r="K144" s="255">
        <f t="shared" si="10"/>
        <v>0</v>
      </c>
    </row>
    <row r="145" spans="1:11" ht="12.75" customHeight="1">
      <c r="A145" s="252" t="s">
        <v>482</v>
      </c>
      <c r="B145" s="905">
        <v>0</v>
      </c>
      <c r="C145" s="905"/>
      <c r="D145" s="905">
        <v>0</v>
      </c>
      <c r="E145" s="905"/>
      <c r="F145" s="217">
        <v>0</v>
      </c>
      <c r="G145" s="109">
        <v>0</v>
      </c>
      <c r="H145" s="109">
        <v>0</v>
      </c>
      <c r="I145" s="109">
        <v>0</v>
      </c>
      <c r="J145" s="109">
        <v>0</v>
      </c>
      <c r="K145" s="98">
        <v>0</v>
      </c>
    </row>
    <row r="146" spans="1:11" ht="12.75" customHeight="1">
      <c r="A146" s="256" t="s">
        <v>500</v>
      </c>
      <c r="B146" s="906">
        <v>0</v>
      </c>
      <c r="C146" s="906"/>
      <c r="D146" s="906">
        <v>0</v>
      </c>
      <c r="E146" s="906"/>
      <c r="F146" s="257">
        <v>0</v>
      </c>
      <c r="G146" s="258">
        <v>0</v>
      </c>
      <c r="H146" s="258">
        <v>0</v>
      </c>
      <c r="I146" s="258">
        <v>0</v>
      </c>
      <c r="J146" s="258">
        <v>0</v>
      </c>
      <c r="K146" s="259">
        <v>0</v>
      </c>
    </row>
    <row r="147" spans="1:11" ht="12.75" customHeight="1">
      <c r="A147" s="260" t="s">
        <v>501</v>
      </c>
      <c r="B147" s="935">
        <f>B132+B135</f>
        <v>0</v>
      </c>
      <c r="C147" s="935"/>
      <c r="D147" s="935">
        <f>D132+D135</f>
        <v>0</v>
      </c>
      <c r="E147" s="935"/>
      <c r="F147" s="219">
        <f aca="true" t="shared" si="11" ref="F147:K147">+F132+F135</f>
        <v>0</v>
      </c>
      <c r="G147" s="219">
        <f t="shared" si="11"/>
        <v>0</v>
      </c>
      <c r="H147" s="219">
        <f t="shared" si="11"/>
        <v>0</v>
      </c>
      <c r="I147" s="219">
        <f t="shared" si="11"/>
        <v>0</v>
      </c>
      <c r="J147" s="219">
        <f t="shared" si="11"/>
        <v>0</v>
      </c>
      <c r="K147" s="219">
        <f t="shared" si="11"/>
        <v>0</v>
      </c>
    </row>
    <row r="148" spans="1:11" ht="6" customHeight="1">
      <c r="A148" s="261"/>
      <c r="B148" s="262"/>
      <c r="C148" s="262"/>
      <c r="D148" s="262"/>
      <c r="E148" s="262"/>
      <c r="F148" s="231"/>
      <c r="G148" s="231"/>
      <c r="H148" s="231"/>
      <c r="I148" s="231"/>
      <c r="J148" s="231"/>
      <c r="K148" s="231"/>
    </row>
    <row r="149" spans="1:11" ht="12.75" customHeight="1">
      <c r="A149" s="260" t="s">
        <v>502</v>
      </c>
      <c r="B149" s="935">
        <f>B127-B147</f>
        <v>0</v>
      </c>
      <c r="C149" s="935"/>
      <c r="D149" s="935">
        <f>F127-D147</f>
        <v>0</v>
      </c>
      <c r="E149" s="935"/>
      <c r="F149" s="219">
        <f>H127-F147</f>
        <v>0</v>
      </c>
      <c r="G149" s="219">
        <f>J127-G147</f>
        <v>0</v>
      </c>
      <c r="H149" s="219">
        <f>H127-H147</f>
        <v>0</v>
      </c>
      <c r="I149" s="219">
        <f>J127-I147</f>
        <v>0</v>
      </c>
      <c r="J149" s="263"/>
      <c r="K149" s="263"/>
    </row>
    <row r="150" spans="1:11" ht="6" customHeight="1">
      <c r="A150" s="261"/>
      <c r="B150" s="262"/>
      <c r="C150" s="262"/>
      <c r="D150" s="262"/>
      <c r="E150" s="262"/>
      <c r="F150" s="231"/>
      <c r="G150" s="231"/>
      <c r="H150" s="231"/>
      <c r="I150" s="231"/>
      <c r="J150" s="231"/>
      <c r="K150" s="231"/>
    </row>
    <row r="151" spans="1:11" ht="12.75" customHeight="1">
      <c r="A151" s="260" t="s">
        <v>503</v>
      </c>
      <c r="B151" s="935" t="s">
        <v>456</v>
      </c>
      <c r="C151" s="935"/>
      <c r="D151" s="935"/>
      <c r="E151" s="935"/>
      <c r="F151" s="935"/>
      <c r="G151" s="935"/>
      <c r="H151" s="935"/>
      <c r="I151" s="935"/>
      <c r="J151" s="935"/>
      <c r="K151" s="935"/>
    </row>
    <row r="152" spans="1:11" ht="12.75" customHeight="1">
      <c r="A152" s="261" t="s">
        <v>504</v>
      </c>
      <c r="B152" s="963">
        <v>0</v>
      </c>
      <c r="C152" s="963"/>
      <c r="D152" s="963"/>
      <c r="E152" s="963"/>
      <c r="F152" s="963"/>
      <c r="G152" s="963"/>
      <c r="H152" s="963"/>
      <c r="I152" s="963"/>
      <c r="J152" s="963"/>
      <c r="K152" s="963"/>
    </row>
    <row r="153" spans="1:11" ht="12.75" customHeight="1">
      <c r="A153" s="264" t="s">
        <v>505</v>
      </c>
      <c r="B153" s="963">
        <v>0</v>
      </c>
      <c r="C153" s="963"/>
      <c r="D153" s="963"/>
      <c r="E153" s="963"/>
      <c r="F153" s="963"/>
      <c r="G153" s="963"/>
      <c r="H153" s="963"/>
      <c r="I153" s="963"/>
      <c r="J153" s="963"/>
      <c r="K153" s="963"/>
    </row>
    <row r="154" spans="1:11" ht="18.75" customHeight="1">
      <c r="A154" s="964" t="s">
        <v>1151</v>
      </c>
      <c r="B154" s="964"/>
      <c r="C154" s="964"/>
      <c r="D154" s="964"/>
      <c r="E154" s="964"/>
      <c r="F154" s="964"/>
      <c r="G154" s="964"/>
      <c r="H154" s="964"/>
      <c r="I154" s="964"/>
      <c r="J154" s="964"/>
      <c r="K154" s="964"/>
    </row>
    <row r="155" spans="1:11" ht="11.25" customHeight="1">
      <c r="A155" s="265" t="s">
        <v>506</v>
      </c>
      <c r="B155" s="266"/>
      <c r="C155" s="266"/>
      <c r="D155" s="266"/>
      <c r="E155" s="266"/>
      <c r="F155" s="266"/>
      <c r="G155" s="266"/>
      <c r="H155" s="266"/>
      <c r="I155" s="266"/>
      <c r="J155" s="266"/>
      <c r="K155" s="266"/>
    </row>
    <row r="156" spans="1:11" ht="11.25" customHeight="1">
      <c r="A156" s="965" t="s">
        <v>507</v>
      </c>
      <c r="B156" s="965"/>
      <c r="C156" s="965"/>
      <c r="D156" s="965"/>
      <c r="E156" s="965"/>
      <c r="F156" s="965"/>
      <c r="G156" s="965"/>
      <c r="H156" s="965"/>
      <c r="I156" s="965"/>
      <c r="J156" s="965"/>
      <c r="K156" s="965"/>
    </row>
    <row r="157" spans="1:11" ht="11.25" customHeight="1">
      <c r="A157" s="966" t="s">
        <v>508</v>
      </c>
      <c r="B157" s="966"/>
      <c r="C157" s="966"/>
      <c r="D157" s="966"/>
      <c r="E157" s="966"/>
      <c r="F157" s="966"/>
      <c r="G157" s="966"/>
      <c r="H157" s="966"/>
      <c r="I157" s="966"/>
      <c r="J157" s="966"/>
      <c r="K157" s="966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8.7109375" defaultRowHeight="11.25" customHeight="1"/>
  <cols>
    <col min="1" max="1" width="59.28125" style="150" customWidth="1"/>
    <col min="2" max="7" width="12.28125" style="150" customWidth="1"/>
    <col min="8" max="16384" width="8.7109375" style="150" customWidth="1"/>
  </cols>
  <sheetData>
    <row r="1" spans="1:5" ht="15.75" customHeight="1">
      <c r="A1" s="151" t="s">
        <v>509</v>
      </c>
      <c r="D1" s="136"/>
      <c r="E1" s="136"/>
    </row>
    <row r="2" spans="4:5" ht="12.75" customHeight="1">
      <c r="D2" s="136"/>
      <c r="E2" s="136"/>
    </row>
    <row r="3" spans="1:7" ht="12.75" customHeight="1">
      <c r="A3" s="948" t="str">
        <f>+'Informações Iniciais'!A1:B1</f>
        <v>MUNICÍPIO DE RIBAMAR FIQUENE - PODER EXECUTIVO</v>
      </c>
      <c r="B3" s="948"/>
      <c r="C3" s="948"/>
      <c r="D3" s="948"/>
      <c r="E3" s="948"/>
      <c r="F3" s="948"/>
      <c r="G3" s="948"/>
    </row>
    <row r="4" spans="1:7" ht="12.75" customHeight="1">
      <c r="A4" s="948" t="s">
        <v>0</v>
      </c>
      <c r="B4" s="948"/>
      <c r="C4" s="948"/>
      <c r="D4" s="948"/>
      <c r="E4" s="948"/>
      <c r="F4" s="948"/>
      <c r="G4" s="948"/>
    </row>
    <row r="5" spans="1:7" ht="12.75" customHeight="1">
      <c r="A5" s="947" t="s">
        <v>510</v>
      </c>
      <c r="B5" s="947"/>
      <c r="C5" s="947"/>
      <c r="D5" s="947"/>
      <c r="E5" s="947"/>
      <c r="F5" s="947"/>
      <c r="G5" s="947"/>
    </row>
    <row r="6" spans="1:7" ht="12.75" customHeight="1">
      <c r="A6" s="948" t="s">
        <v>29</v>
      </c>
      <c r="B6" s="948"/>
      <c r="C6" s="948"/>
      <c r="D6" s="948"/>
      <c r="E6" s="948"/>
      <c r="F6" s="948"/>
      <c r="G6" s="948"/>
    </row>
    <row r="7" spans="1:7" ht="12.75" customHeight="1">
      <c r="A7" s="948" t="str">
        <f>+'Informações Iniciais'!A5:B5</f>
        <v>3º Bimestre de 2020</v>
      </c>
      <c r="B7" s="948"/>
      <c r="C7" s="948"/>
      <c r="D7" s="948"/>
      <c r="E7" s="948"/>
      <c r="F7" s="948"/>
      <c r="G7" s="948"/>
    </row>
    <row r="8" spans="1:7" ht="12.75" customHeight="1">
      <c r="A8" s="163"/>
      <c r="B8" s="163"/>
      <c r="C8" s="163"/>
      <c r="D8" s="163"/>
      <c r="E8" s="163"/>
      <c r="F8" s="163"/>
      <c r="G8" s="163"/>
    </row>
    <row r="9" spans="1:7" ht="12.75" customHeight="1">
      <c r="A9" s="150" t="s">
        <v>511</v>
      </c>
      <c r="D9" s="186"/>
      <c r="E9" s="136"/>
      <c r="G9" s="156" t="s">
        <v>31</v>
      </c>
    </row>
    <row r="10" spans="1:7" ht="12.75" customHeight="1">
      <c r="A10" s="267"/>
      <c r="B10" s="268"/>
      <c r="C10" s="269"/>
      <c r="D10" s="1018" t="s">
        <v>36</v>
      </c>
      <c r="E10" s="1018"/>
      <c r="F10" s="269"/>
      <c r="G10" s="270"/>
    </row>
    <row r="11" spans="1:7" ht="12.75" customHeight="1">
      <c r="A11" s="271" t="s">
        <v>512</v>
      </c>
      <c r="B11" s="1012" t="s">
        <v>513</v>
      </c>
      <c r="C11" s="1012"/>
      <c r="D11" s="1013" t="s">
        <v>514</v>
      </c>
      <c r="E11" s="1013"/>
      <c r="F11" s="1014" t="s">
        <v>515</v>
      </c>
      <c r="G11" s="1014"/>
    </row>
    <row r="12" spans="1:7" ht="12.75" customHeight="1">
      <c r="A12" s="272"/>
      <c r="B12" s="1015" t="s">
        <v>40</v>
      </c>
      <c r="C12" s="1015"/>
      <c r="D12" s="1016" t="s">
        <v>41</v>
      </c>
      <c r="E12" s="1016"/>
      <c r="F12" s="1017" t="s">
        <v>43</v>
      </c>
      <c r="G12" s="1017"/>
    </row>
    <row r="13" spans="1:7" ht="12.75" customHeight="1">
      <c r="A13" s="30" t="s">
        <v>516</v>
      </c>
      <c r="B13" s="905"/>
      <c r="C13" s="905"/>
      <c r="D13" s="905"/>
      <c r="E13" s="905"/>
      <c r="F13" s="905"/>
      <c r="G13" s="905"/>
    </row>
    <row r="14" spans="1:7" ht="12.75" customHeight="1">
      <c r="A14" s="30" t="s">
        <v>397</v>
      </c>
      <c r="B14" s="967">
        <f>+B15+B18</f>
        <v>0</v>
      </c>
      <c r="C14" s="967"/>
      <c r="D14" s="967">
        <f>+D15+D18</f>
        <v>0</v>
      </c>
      <c r="E14" s="967"/>
      <c r="F14" s="967">
        <f>+F15+F18</f>
        <v>0</v>
      </c>
      <c r="G14" s="967"/>
    </row>
    <row r="15" spans="1:7" ht="12.75" customHeight="1">
      <c r="A15" s="273" t="s">
        <v>517</v>
      </c>
      <c r="B15" s="967">
        <f>IF(ABS(B17)&gt;B16,0,B16-ABS(B17))</f>
        <v>0</v>
      </c>
      <c r="C15" s="967"/>
      <c r="D15" s="967">
        <f>IF(ABS(D17)&gt;D16,0,D16-ABS(D17))</f>
        <v>0</v>
      </c>
      <c r="E15" s="967"/>
      <c r="F15" s="967">
        <f>IF(ABS(F17)&gt;F16,0,F16-ABS(F17))</f>
        <v>0</v>
      </c>
      <c r="G15" s="967"/>
    </row>
    <row r="16" spans="1:7" ht="12.75" customHeight="1">
      <c r="A16" s="273" t="s">
        <v>518</v>
      </c>
      <c r="B16" s="905"/>
      <c r="C16" s="905"/>
      <c r="D16" s="905"/>
      <c r="E16" s="905"/>
      <c r="F16" s="905"/>
      <c r="G16" s="905"/>
    </row>
    <row r="17" spans="1:7" ht="12.75" customHeight="1">
      <c r="A17" s="273" t="s">
        <v>519</v>
      </c>
      <c r="B17" s="905"/>
      <c r="C17" s="905"/>
      <c r="D17" s="905"/>
      <c r="E17" s="905"/>
      <c r="F17" s="905"/>
      <c r="G17" s="905"/>
    </row>
    <row r="18" spans="1:7" ht="12.75" customHeight="1">
      <c r="A18" s="273" t="s">
        <v>520</v>
      </c>
      <c r="B18" s="905"/>
      <c r="C18" s="905"/>
      <c r="D18" s="905"/>
      <c r="E18" s="905"/>
      <c r="F18" s="905"/>
      <c r="G18" s="905"/>
    </row>
    <row r="19" spans="1:7" ht="12.75" customHeight="1">
      <c r="A19" s="30" t="s">
        <v>521</v>
      </c>
      <c r="B19" s="967">
        <f>IF(ABS(B14)&gt;B13,0,B13-ABS(B14))</f>
        <v>0</v>
      </c>
      <c r="C19" s="967"/>
      <c r="D19" s="967">
        <f>IF(ABS(D14)&gt;D13,0,D13-ABS(D14))</f>
        <v>0</v>
      </c>
      <c r="E19" s="967"/>
      <c r="F19" s="967">
        <f>IF(ABS(F14)&gt;F13,0,F13-ABS(F14))</f>
        <v>0</v>
      </c>
      <c r="G19" s="967"/>
    </row>
    <row r="20" spans="1:7" ht="12.75" customHeight="1">
      <c r="A20" s="30" t="s">
        <v>522</v>
      </c>
      <c r="B20" s="905"/>
      <c r="C20" s="905"/>
      <c r="D20" s="905"/>
      <c r="E20" s="905"/>
      <c r="F20" s="905"/>
      <c r="G20" s="905"/>
    </row>
    <row r="21" spans="1:7" ht="12.75" customHeight="1">
      <c r="A21" s="30" t="s">
        <v>523</v>
      </c>
      <c r="B21" s="905"/>
      <c r="C21" s="905"/>
      <c r="D21" s="905"/>
      <c r="E21" s="905"/>
      <c r="F21" s="905"/>
      <c r="G21" s="905"/>
    </row>
    <row r="22" spans="1:7" ht="12.75" customHeight="1">
      <c r="A22" s="274" t="s">
        <v>524</v>
      </c>
      <c r="B22" s="928">
        <f>B19+B20-B21</f>
        <v>0</v>
      </c>
      <c r="C22" s="928"/>
      <c r="D22" s="928">
        <f>D19+D20-D21</f>
        <v>0</v>
      </c>
      <c r="E22" s="928"/>
      <c r="F22" s="928">
        <f>F19+F20-F21</f>
        <v>0</v>
      </c>
      <c r="G22" s="928"/>
    </row>
    <row r="23" spans="1:7" ht="12.75" customHeight="1">
      <c r="A23" s="154"/>
      <c r="B23" s="1009">
        <f>IF(B17&lt;0,SUM(B15:C18),+B15+B18-B17)</f>
        <v>0</v>
      </c>
      <c r="C23" s="1009"/>
      <c r="D23" s="1009">
        <f>IF(D17&lt;0,SUM(D15:E18),+D15+D18-D17)</f>
        <v>0</v>
      </c>
      <c r="E23" s="1009"/>
      <c r="F23" s="1009">
        <f>IF(F17&lt;0,SUM(F15:G18),+F15+F18-F17)</f>
        <v>0</v>
      </c>
      <c r="G23" s="1009"/>
    </row>
    <row r="24" spans="1:7" ht="12.75" customHeight="1">
      <c r="A24" s="949" t="s">
        <v>525</v>
      </c>
      <c r="B24" s="275"/>
      <c r="C24" s="276"/>
      <c r="D24" s="1010" t="s">
        <v>462</v>
      </c>
      <c r="E24" s="1010"/>
      <c r="F24" s="276"/>
      <c r="G24" s="277"/>
    </row>
    <row r="25" spans="1:7" ht="12.75" customHeight="1">
      <c r="A25" s="949"/>
      <c r="B25" s="278"/>
      <c r="C25" s="279" t="s">
        <v>37</v>
      </c>
      <c r="D25" s="280"/>
      <c r="E25" s="278"/>
      <c r="F25" s="279" t="s">
        <v>39</v>
      </c>
      <c r="G25" s="280"/>
    </row>
    <row r="26" spans="1:7" ht="12.75" customHeight="1">
      <c r="A26" s="949"/>
      <c r="B26" s="281"/>
      <c r="C26" s="282" t="s">
        <v>526</v>
      </c>
      <c r="D26" s="283"/>
      <c r="E26" s="281"/>
      <c r="F26" s="282" t="s">
        <v>527</v>
      </c>
      <c r="G26" s="283"/>
    </row>
    <row r="27" spans="1:7" ht="12.75" customHeight="1">
      <c r="A27" s="284" t="s">
        <v>453</v>
      </c>
      <c r="B27" s="1011">
        <f>F22-D22</f>
        <v>0</v>
      </c>
      <c r="C27" s="1011"/>
      <c r="D27" s="1011"/>
      <c r="E27" s="1011">
        <f>F22-B22</f>
        <v>0</v>
      </c>
      <c r="F27" s="1011"/>
      <c r="G27" s="1011"/>
    </row>
    <row r="28" spans="1:7" ht="12.75" customHeight="1">
      <c r="A28" s="30"/>
      <c r="B28" s="24"/>
      <c r="C28" s="24"/>
      <c r="D28" s="24"/>
      <c r="E28" s="24"/>
      <c r="F28" s="24"/>
      <c r="G28" s="144"/>
    </row>
    <row r="29" spans="1:7" ht="11.25" customHeight="1">
      <c r="A29" s="1005" t="s">
        <v>528</v>
      </c>
      <c r="B29" s="1005"/>
      <c r="C29" s="1005"/>
      <c r="D29" s="1005"/>
      <c r="E29" s="1006" t="s">
        <v>529</v>
      </c>
      <c r="F29" s="1006"/>
      <c r="G29" s="1006"/>
    </row>
    <row r="30" spans="1:7" ht="11.25" customHeight="1">
      <c r="A30" s="1005"/>
      <c r="B30" s="1005"/>
      <c r="C30" s="1005"/>
      <c r="D30" s="1005"/>
      <c r="E30" s="1006"/>
      <c r="F30" s="1006"/>
      <c r="G30" s="1006"/>
    </row>
    <row r="31" spans="1:7" ht="12.75" customHeight="1">
      <c r="A31" s="284" t="s">
        <v>530</v>
      </c>
      <c r="B31" s="285"/>
      <c r="C31" s="285"/>
      <c r="D31" s="285"/>
      <c r="E31" s="1007"/>
      <c r="F31" s="1007"/>
      <c r="G31" s="1007"/>
    </row>
    <row r="32" spans="1:9" ht="12.75" customHeight="1">
      <c r="A32" s="1008" t="s">
        <v>531</v>
      </c>
      <c r="B32" s="1008"/>
      <c r="C32" s="1008"/>
      <c r="D32" s="1008"/>
      <c r="E32" s="1008"/>
      <c r="F32" s="1008"/>
      <c r="G32" s="1008"/>
      <c r="H32" s="286"/>
      <c r="I32" s="286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1">
      <selection activeCell="A1000" sqref="A1000"/>
    </sheetView>
  </sheetViews>
  <sheetFormatPr defaultColWidth="16.28125" defaultRowHeight="11.25" customHeight="1"/>
  <cols>
    <col min="1" max="1" width="74.28125" style="287" customWidth="1"/>
    <col min="2" max="2" width="17.7109375" style="287" customWidth="1"/>
    <col min="3" max="3" width="17.7109375" style="288" customWidth="1"/>
    <col min="4" max="5" width="17.7109375" style="287" customWidth="1"/>
    <col min="6" max="6" width="19.00390625" style="287" customWidth="1"/>
    <col min="7" max="7" width="17.57421875" style="287" customWidth="1"/>
    <col min="8" max="8" width="20.28125" style="287" customWidth="1"/>
    <col min="9" max="254" width="7.421875" style="287" customWidth="1"/>
    <col min="255" max="255" width="54.57421875" style="287" customWidth="1"/>
    <col min="256" max="16384" width="16.28125" style="287" customWidth="1"/>
  </cols>
  <sheetData>
    <row r="1" spans="1:4" ht="12.75" customHeight="1">
      <c r="A1" s="34" t="s">
        <v>532</v>
      </c>
      <c r="B1" s="289"/>
      <c r="C1" s="290"/>
      <c r="D1" s="289"/>
    </row>
    <row r="2" spans="1:4" ht="12.75" customHeight="1">
      <c r="A2" s="197"/>
      <c r="B2" s="197"/>
      <c r="C2" s="273"/>
      <c r="D2" s="197"/>
    </row>
    <row r="3" spans="1:4" ht="12.75" customHeight="1">
      <c r="A3" s="948" t="str">
        <f>+'Informações Iniciais'!A1:B1</f>
        <v>MUNICÍPIO DE RIBAMAR FIQUENE - PODER EXECUTIVO</v>
      </c>
      <c r="B3" s="948"/>
      <c r="C3" s="948"/>
      <c r="D3" s="948"/>
    </row>
    <row r="4" spans="1:4" ht="12.75" customHeight="1">
      <c r="A4" s="948" t="s">
        <v>0</v>
      </c>
      <c r="B4" s="948"/>
      <c r="C4" s="948"/>
      <c r="D4" s="948"/>
    </row>
    <row r="5" spans="1:4" ht="12.75" customHeight="1">
      <c r="A5" s="947" t="s">
        <v>533</v>
      </c>
      <c r="B5" s="947"/>
      <c r="C5" s="947"/>
      <c r="D5" s="947"/>
    </row>
    <row r="6" spans="1:4" ht="12.75" customHeight="1">
      <c r="A6" s="948" t="s">
        <v>29</v>
      </c>
      <c r="B6" s="948"/>
      <c r="C6" s="948"/>
      <c r="D6" s="948"/>
    </row>
    <row r="7" spans="1:4" ht="12.75" customHeight="1">
      <c r="A7" s="948" t="str">
        <f>+'Informações Iniciais'!A5:B5</f>
        <v>3º Bimestre de 2020</v>
      </c>
      <c r="B7" s="948"/>
      <c r="C7" s="948"/>
      <c r="D7" s="948"/>
    </row>
    <row r="8" spans="1:4" ht="11.25" customHeight="1">
      <c r="A8" s="154"/>
      <c r="B8" s="154"/>
      <c r="C8" s="154"/>
      <c r="D8" s="154"/>
    </row>
    <row r="9" spans="1:8" ht="11.25" customHeight="1">
      <c r="A9" s="291" t="s">
        <v>534</v>
      </c>
      <c r="B9" s="292"/>
      <c r="C9" s="292"/>
      <c r="D9" s="292"/>
      <c r="E9" s="293"/>
      <c r="F9" s="293"/>
      <c r="G9" s="293"/>
      <c r="H9" s="294" t="s">
        <v>535</v>
      </c>
    </row>
    <row r="10" spans="1:8" ht="11.25" customHeight="1">
      <c r="A10" s="1052" t="s">
        <v>536</v>
      </c>
      <c r="B10" s="1052"/>
      <c r="C10" s="1052"/>
      <c r="D10" s="1052"/>
      <c r="E10" s="1052"/>
      <c r="F10" s="1052"/>
      <c r="G10" s="1052"/>
      <c r="H10" s="1052"/>
    </row>
    <row r="11" spans="1:8" ht="11.25" customHeight="1">
      <c r="A11" s="1052"/>
      <c r="B11" s="1052"/>
      <c r="C11" s="1052"/>
      <c r="D11" s="1052"/>
      <c r="E11" s="1052"/>
      <c r="F11" s="1052"/>
      <c r="G11" s="1052"/>
      <c r="H11" s="1052"/>
    </row>
    <row r="12" spans="1:8" ht="11.25" customHeight="1">
      <c r="A12" s="295"/>
      <c r="B12" s="1037" t="s">
        <v>537</v>
      </c>
      <c r="C12" s="1025" t="s">
        <v>538</v>
      </c>
      <c r="D12" s="1025"/>
      <c r="E12" s="1025"/>
      <c r="F12" s="1025"/>
      <c r="G12" s="1025"/>
      <c r="H12" s="1025"/>
    </row>
    <row r="13" spans="1:8" ht="12.75" customHeight="1">
      <c r="A13" s="297" t="s">
        <v>539</v>
      </c>
      <c r="B13" s="1037"/>
      <c r="C13" s="1071" t="s">
        <v>35</v>
      </c>
      <c r="D13" s="1071"/>
      <c r="E13" s="1071"/>
      <c r="F13" s="1071"/>
      <c r="G13" s="1071"/>
      <c r="H13" s="1071"/>
    </row>
    <row r="14" spans="1:8" ht="11.25" customHeight="1">
      <c r="A14" s="298"/>
      <c r="B14" s="1037"/>
      <c r="C14" s="1072" t="s">
        <v>40</v>
      </c>
      <c r="D14" s="1072"/>
      <c r="E14" s="1072"/>
      <c r="F14" s="1072"/>
      <c r="G14" s="1072"/>
      <c r="H14" s="1072"/>
    </row>
    <row r="15" spans="1:8" ht="11.25" customHeight="1">
      <c r="A15" s="299" t="s">
        <v>373</v>
      </c>
      <c r="B15" s="300">
        <f>B16+B22+B23+B26+B35</f>
        <v>33295000</v>
      </c>
      <c r="C15" s="1073">
        <f>C16+C22+C23+C26+C35</f>
        <v>10181148.61</v>
      </c>
      <c r="D15" s="1073"/>
      <c r="E15" s="1073"/>
      <c r="F15" s="1073"/>
      <c r="G15" s="1073"/>
      <c r="H15" s="1073"/>
    </row>
    <row r="16" spans="1:8" ht="11.25" customHeight="1">
      <c r="A16" s="302" t="s">
        <v>540</v>
      </c>
      <c r="B16" s="303">
        <f>SUM(B17:B21)</f>
        <v>196000</v>
      </c>
      <c r="C16" s="1065">
        <f>SUM(C17:C21)</f>
        <v>299131.77</v>
      </c>
      <c r="D16" s="1065"/>
      <c r="E16" s="1065"/>
      <c r="F16" s="1065"/>
      <c r="G16" s="1065"/>
      <c r="H16" s="1065"/>
    </row>
    <row r="17" spans="1:8" ht="11.25" customHeight="1">
      <c r="A17" s="304" t="s">
        <v>375</v>
      </c>
      <c r="B17" s="305">
        <v>5000</v>
      </c>
      <c r="C17" s="1064">
        <v>0</v>
      </c>
      <c r="D17" s="1064"/>
      <c r="E17" s="1064"/>
      <c r="F17" s="1064"/>
      <c r="G17" s="1064"/>
      <c r="H17" s="1064"/>
    </row>
    <row r="18" spans="1:8" ht="11.25" customHeight="1">
      <c r="A18" s="304" t="s">
        <v>376</v>
      </c>
      <c r="B18" s="305">
        <v>80000</v>
      </c>
      <c r="C18" s="1064">
        <v>47824.62</v>
      </c>
      <c r="D18" s="1064"/>
      <c r="E18" s="1064"/>
      <c r="F18" s="1064"/>
      <c r="G18" s="1064"/>
      <c r="H18" s="1064"/>
    </row>
    <row r="19" spans="1:8" ht="11.25" customHeight="1">
      <c r="A19" s="304" t="s">
        <v>377</v>
      </c>
      <c r="B19" s="305">
        <v>5000</v>
      </c>
      <c r="C19" s="1064">
        <v>30900</v>
      </c>
      <c r="D19" s="1064"/>
      <c r="E19" s="1064"/>
      <c r="F19" s="1064"/>
      <c r="G19" s="1064"/>
      <c r="H19" s="1064"/>
    </row>
    <row r="20" spans="1:8" ht="11.25" customHeight="1">
      <c r="A20" s="304" t="s">
        <v>378</v>
      </c>
      <c r="B20" s="305">
        <v>100000</v>
      </c>
      <c r="C20" s="1064">
        <v>213425.15</v>
      </c>
      <c r="D20" s="1064"/>
      <c r="E20" s="1064"/>
      <c r="F20" s="1064"/>
      <c r="G20" s="1064"/>
      <c r="H20" s="1064"/>
    </row>
    <row r="21" spans="1:8" ht="11.25" customHeight="1">
      <c r="A21" s="304" t="s">
        <v>379</v>
      </c>
      <c r="B21" s="305">
        <v>6000</v>
      </c>
      <c r="C21" s="1064">
        <v>6982</v>
      </c>
      <c r="D21" s="1064"/>
      <c r="E21" s="1064"/>
      <c r="F21" s="1064"/>
      <c r="G21" s="1064"/>
      <c r="H21" s="1064"/>
    </row>
    <row r="22" spans="1:8" ht="11.25" customHeight="1">
      <c r="A22" s="306" t="s">
        <v>541</v>
      </c>
      <c r="B22" s="305">
        <v>90000</v>
      </c>
      <c r="C22" s="1064">
        <v>11118</v>
      </c>
      <c r="D22" s="1064"/>
      <c r="E22" s="1064"/>
      <c r="F22" s="1064"/>
      <c r="G22" s="1064"/>
      <c r="H22" s="1064"/>
    </row>
    <row r="23" spans="1:8" ht="11.25" customHeight="1">
      <c r="A23" s="304" t="s">
        <v>542</v>
      </c>
      <c r="B23" s="303">
        <f>B24+B25</f>
        <v>24000</v>
      </c>
      <c r="C23" s="1068">
        <f>C24+C25</f>
        <v>6942.09</v>
      </c>
      <c r="D23" s="1068"/>
      <c r="E23" s="1068"/>
      <c r="F23" s="1068"/>
      <c r="G23" s="1068"/>
      <c r="H23" s="1068"/>
    </row>
    <row r="24" spans="1:8" ht="11.25" customHeight="1">
      <c r="A24" s="307" t="s">
        <v>543</v>
      </c>
      <c r="B24" s="305">
        <v>24000</v>
      </c>
      <c r="C24" s="1064">
        <v>6942.09</v>
      </c>
      <c r="D24" s="1064"/>
      <c r="E24" s="1064"/>
      <c r="F24" s="1064"/>
      <c r="G24" s="1064"/>
      <c r="H24" s="1064"/>
    </row>
    <row r="25" spans="1:8" ht="11.25" customHeight="1">
      <c r="A25" s="304" t="s">
        <v>480</v>
      </c>
      <c r="B25" s="305">
        <v>0</v>
      </c>
      <c r="C25" s="1064">
        <v>0</v>
      </c>
      <c r="D25" s="1064"/>
      <c r="E25" s="1064"/>
      <c r="F25" s="1064"/>
      <c r="G25" s="1064"/>
      <c r="H25" s="1064"/>
    </row>
    <row r="26" spans="1:8" ht="11.25" customHeight="1">
      <c r="A26" s="307" t="s">
        <v>544</v>
      </c>
      <c r="B26" s="303">
        <f>SUM(B27:B34)</f>
        <v>32227000</v>
      </c>
      <c r="C26" s="1065">
        <f>SUM(C27:C34)</f>
        <v>9863956.75</v>
      </c>
      <c r="D26" s="1065"/>
      <c r="E26" s="1065"/>
      <c r="F26" s="1065"/>
      <c r="G26" s="1065"/>
      <c r="H26" s="1065"/>
    </row>
    <row r="27" spans="1:8" ht="11.25" customHeight="1">
      <c r="A27" s="304" t="s">
        <v>388</v>
      </c>
      <c r="B27" s="305">
        <v>7300000</v>
      </c>
      <c r="C27" s="1064">
        <v>3005311.38</v>
      </c>
      <c r="D27" s="1064"/>
      <c r="E27" s="1064"/>
      <c r="F27" s="1064"/>
      <c r="G27" s="1064"/>
      <c r="H27" s="1064"/>
    </row>
    <row r="28" spans="1:8" ht="11.25" customHeight="1">
      <c r="A28" s="304" t="s">
        <v>389</v>
      </c>
      <c r="B28" s="305">
        <v>1200000</v>
      </c>
      <c r="C28" s="1064">
        <v>721459.2</v>
      </c>
      <c r="D28" s="1064"/>
      <c r="E28" s="1064"/>
      <c r="F28" s="1064"/>
      <c r="G28" s="1064"/>
      <c r="H28" s="1064"/>
    </row>
    <row r="29" spans="1:8" ht="11.25" customHeight="1">
      <c r="A29" s="304" t="s">
        <v>390</v>
      </c>
      <c r="B29" s="305">
        <v>80000</v>
      </c>
      <c r="C29" s="1064">
        <v>64313.68</v>
      </c>
      <c r="D29" s="1064"/>
      <c r="E29" s="1064"/>
      <c r="F29" s="1064"/>
      <c r="G29" s="1064"/>
      <c r="H29" s="1064"/>
    </row>
    <row r="30" spans="1:8" ht="11.25" customHeight="1">
      <c r="A30" s="304" t="s">
        <v>391</v>
      </c>
      <c r="B30" s="305">
        <v>8000</v>
      </c>
      <c r="C30" s="1064">
        <v>2101.05</v>
      </c>
      <c r="D30" s="1064"/>
      <c r="E30" s="1064"/>
      <c r="F30" s="1064"/>
      <c r="G30" s="1064"/>
      <c r="H30" s="1064"/>
    </row>
    <row r="31" spans="1:8" ht="11.25" customHeight="1">
      <c r="A31" s="304" t="s">
        <v>392</v>
      </c>
      <c r="B31" s="305">
        <v>8000</v>
      </c>
      <c r="C31" s="1064">
        <v>0</v>
      </c>
      <c r="D31" s="1064"/>
      <c r="E31" s="1064"/>
      <c r="F31" s="1064"/>
      <c r="G31" s="1064"/>
      <c r="H31" s="1064"/>
    </row>
    <row r="32" spans="1:8" ht="11.25" customHeight="1">
      <c r="A32" s="299" t="s">
        <v>393</v>
      </c>
      <c r="B32" s="305">
        <v>16000</v>
      </c>
      <c r="C32" s="1070">
        <v>5137.63</v>
      </c>
      <c r="D32" s="1070"/>
      <c r="E32" s="1070"/>
      <c r="F32" s="1070"/>
      <c r="G32" s="1070"/>
      <c r="H32" s="1070"/>
    </row>
    <row r="33" spans="1:8" ht="11.25" customHeight="1">
      <c r="A33" s="304" t="s">
        <v>394</v>
      </c>
      <c r="B33" s="305">
        <v>8906000</v>
      </c>
      <c r="C33" s="1064">
        <v>3967948.25</v>
      </c>
      <c r="D33" s="1064"/>
      <c r="E33" s="1064"/>
      <c r="F33" s="1064"/>
      <c r="G33" s="1064"/>
      <c r="H33" s="1064"/>
    </row>
    <row r="34" spans="1:8" ht="11.25" customHeight="1">
      <c r="A34" s="304" t="s">
        <v>395</v>
      </c>
      <c r="B34" s="305">
        <v>14709000</v>
      </c>
      <c r="C34" s="1064">
        <v>2097685.56</v>
      </c>
      <c r="D34" s="1064"/>
      <c r="E34" s="1064"/>
      <c r="F34" s="1064"/>
      <c r="G34" s="1064"/>
      <c r="H34" s="1064"/>
    </row>
    <row r="35" spans="1:8" ht="11.25" customHeight="1">
      <c r="A35" s="304" t="s">
        <v>545</v>
      </c>
      <c r="B35" s="303">
        <f>SUM(B36:B37)</f>
        <v>758000</v>
      </c>
      <c r="C35" s="1068">
        <f>SUM(C36:C37)</f>
        <v>0</v>
      </c>
      <c r="D35" s="1068"/>
      <c r="E35" s="1068"/>
      <c r="F35" s="1068"/>
      <c r="G35" s="1068"/>
      <c r="H35" s="1068"/>
    </row>
    <row r="36" spans="1:8" ht="11.25" customHeight="1">
      <c r="A36" s="307" t="s">
        <v>546</v>
      </c>
      <c r="B36" s="305">
        <v>0</v>
      </c>
      <c r="C36" s="1064">
        <v>0</v>
      </c>
      <c r="D36" s="1064"/>
      <c r="E36" s="1064"/>
      <c r="F36" s="1064"/>
      <c r="G36" s="1064"/>
      <c r="H36" s="1064"/>
    </row>
    <row r="37" spans="1:8" ht="11.25" customHeight="1">
      <c r="A37" s="304" t="s">
        <v>547</v>
      </c>
      <c r="B37" s="305">
        <v>758000</v>
      </c>
      <c r="C37" s="1064">
        <v>0</v>
      </c>
      <c r="D37" s="1064"/>
      <c r="E37" s="1064"/>
      <c r="F37" s="1064"/>
      <c r="G37" s="1064"/>
      <c r="H37" s="1064"/>
    </row>
    <row r="38" spans="1:8" ht="11.25" customHeight="1">
      <c r="A38" s="307" t="s">
        <v>548</v>
      </c>
      <c r="B38" s="303">
        <f>B15-B24-B36</f>
        <v>33271000</v>
      </c>
      <c r="C38" s="1068">
        <f>C15-C24-C36</f>
        <v>10174206.52</v>
      </c>
      <c r="D38" s="1068"/>
      <c r="E38" s="1068"/>
      <c r="F38" s="1068"/>
      <c r="G38" s="1068"/>
      <c r="H38" s="1068"/>
    </row>
    <row r="39" spans="1:8" ht="11.25" customHeight="1">
      <c r="A39" s="307" t="s">
        <v>549</v>
      </c>
      <c r="B39" s="308">
        <f>B40+B41+B42+B46+B49</f>
        <v>4664000</v>
      </c>
      <c r="C39" s="1069">
        <f>C40+C41+C42+C46+C49</f>
        <v>0</v>
      </c>
      <c r="D39" s="1069"/>
      <c r="E39" s="1069"/>
      <c r="F39" s="1069"/>
      <c r="G39" s="1069"/>
      <c r="H39" s="1069"/>
    </row>
    <row r="40" spans="1:8" ht="11.25" customHeight="1">
      <c r="A40" s="304" t="s">
        <v>550</v>
      </c>
      <c r="B40" s="305">
        <v>200000</v>
      </c>
      <c r="C40" s="1064">
        <v>0</v>
      </c>
      <c r="D40" s="1064"/>
      <c r="E40" s="1064"/>
      <c r="F40" s="1064"/>
      <c r="G40" s="1064"/>
      <c r="H40" s="1064"/>
    </row>
    <row r="41" spans="1:8" ht="11.25" customHeight="1">
      <c r="A41" s="307" t="s">
        <v>551</v>
      </c>
      <c r="B41" s="305">
        <v>0</v>
      </c>
      <c r="C41" s="1064">
        <v>0</v>
      </c>
      <c r="D41" s="1064"/>
      <c r="E41" s="1064"/>
      <c r="F41" s="1064"/>
      <c r="G41" s="1064"/>
      <c r="H41" s="1064"/>
    </row>
    <row r="42" spans="1:8" ht="11.25" customHeight="1">
      <c r="A42" s="304" t="s">
        <v>485</v>
      </c>
      <c r="B42" s="309">
        <f>B43+B44+B45</f>
        <v>0</v>
      </c>
      <c r="C42" s="1065">
        <f>C43+C44+C45</f>
        <v>0</v>
      </c>
      <c r="D42" s="1065"/>
      <c r="E42" s="1065"/>
      <c r="F42" s="1065"/>
      <c r="G42" s="1065"/>
      <c r="H42" s="1065"/>
    </row>
    <row r="43" spans="1:8" ht="11.25" customHeight="1">
      <c r="A43" s="307" t="s">
        <v>552</v>
      </c>
      <c r="B43" s="310">
        <v>0</v>
      </c>
      <c r="C43" s="1064">
        <v>0</v>
      </c>
      <c r="D43" s="1064"/>
      <c r="E43" s="1064"/>
      <c r="F43" s="1064"/>
      <c r="G43" s="1064"/>
      <c r="H43" s="1064"/>
    </row>
    <row r="44" spans="1:8" ht="11.25" customHeight="1">
      <c r="A44" s="307" t="s">
        <v>553</v>
      </c>
      <c r="B44" s="305">
        <v>0</v>
      </c>
      <c r="C44" s="1064">
        <v>0</v>
      </c>
      <c r="D44" s="1064"/>
      <c r="E44" s="1064"/>
      <c r="F44" s="1064"/>
      <c r="G44" s="1064"/>
      <c r="H44" s="1064"/>
    </row>
    <row r="45" spans="1:8" ht="11.25" customHeight="1">
      <c r="A45" s="304" t="s">
        <v>554</v>
      </c>
      <c r="B45" s="305">
        <v>0</v>
      </c>
      <c r="C45" s="1064">
        <v>0</v>
      </c>
      <c r="D45" s="1064"/>
      <c r="E45" s="1064"/>
      <c r="F45" s="1064"/>
      <c r="G45" s="1064"/>
      <c r="H45" s="1064"/>
    </row>
    <row r="46" spans="1:8" ht="11.25" customHeight="1">
      <c r="A46" s="304" t="s">
        <v>555</v>
      </c>
      <c r="B46" s="311">
        <f>SUM(B47:B48)</f>
        <v>4464000</v>
      </c>
      <c r="C46" s="1067">
        <f>SUM(C47:C48)</f>
        <v>0</v>
      </c>
      <c r="D46" s="1067"/>
      <c r="E46" s="1067"/>
      <c r="F46" s="1067"/>
      <c r="G46" s="1067"/>
      <c r="H46" s="1067"/>
    </row>
    <row r="47" spans="1:8" ht="11.25" customHeight="1">
      <c r="A47" s="304" t="s">
        <v>556</v>
      </c>
      <c r="B47" s="305">
        <v>3737000</v>
      </c>
      <c r="C47" s="1064">
        <v>0</v>
      </c>
      <c r="D47" s="1064"/>
      <c r="E47" s="1064"/>
      <c r="F47" s="1064"/>
      <c r="G47" s="1064"/>
      <c r="H47" s="1064"/>
    </row>
    <row r="48" spans="1:8" ht="11.25" customHeight="1">
      <c r="A48" s="304" t="s">
        <v>557</v>
      </c>
      <c r="B48" s="305">
        <v>727000</v>
      </c>
      <c r="C48" s="1064">
        <v>0</v>
      </c>
      <c r="D48" s="1064"/>
      <c r="E48" s="1064"/>
      <c r="F48" s="1064"/>
      <c r="G48" s="1064"/>
      <c r="H48" s="1064"/>
    </row>
    <row r="49" spans="1:8" ht="11.25" customHeight="1">
      <c r="A49" s="304" t="s">
        <v>487</v>
      </c>
      <c r="B49" s="303">
        <f>B50+B51</f>
        <v>0</v>
      </c>
      <c r="C49" s="1065">
        <f>C50+C51</f>
        <v>0</v>
      </c>
      <c r="D49" s="1065"/>
      <c r="E49" s="1065"/>
      <c r="F49" s="1065"/>
      <c r="G49" s="1065"/>
      <c r="H49" s="1065"/>
    </row>
    <row r="50" spans="1:8" ht="11.25" customHeight="1">
      <c r="A50" s="307" t="s">
        <v>558</v>
      </c>
      <c r="B50" s="305">
        <v>0</v>
      </c>
      <c r="C50" s="1064">
        <v>0</v>
      </c>
      <c r="D50" s="1064"/>
      <c r="E50" s="1064"/>
      <c r="F50" s="1064"/>
      <c r="G50" s="1064"/>
      <c r="H50" s="1064"/>
    </row>
    <row r="51" spans="1:8" ht="11.25" customHeight="1">
      <c r="A51" s="304" t="s">
        <v>559</v>
      </c>
      <c r="B51" s="305">
        <v>0</v>
      </c>
      <c r="C51" s="1064">
        <v>0</v>
      </c>
      <c r="D51" s="1064"/>
      <c r="E51" s="1064"/>
      <c r="F51" s="1064"/>
      <c r="G51" s="1064"/>
      <c r="H51" s="1064"/>
    </row>
    <row r="52" spans="1:8" ht="14.25" customHeight="1">
      <c r="A52" s="307" t="s">
        <v>560</v>
      </c>
      <c r="B52" s="312">
        <f>B39-B40-B41-B43-B44-B50</f>
        <v>4464000</v>
      </c>
      <c r="C52" s="1066">
        <f>C39-C40-C41-C43-C44</f>
        <v>0</v>
      </c>
      <c r="D52" s="1066"/>
      <c r="E52" s="1066"/>
      <c r="F52" s="1066"/>
      <c r="G52" s="1066"/>
      <c r="H52" s="1066"/>
    </row>
    <row r="53" spans="1:8" ht="11.25" customHeight="1">
      <c r="A53" s="313" t="s">
        <v>561</v>
      </c>
      <c r="B53" s="314">
        <f>B38+B52</f>
        <v>37735000</v>
      </c>
      <c r="C53" s="315"/>
      <c r="D53" s="316"/>
      <c r="E53" s="317"/>
      <c r="F53" s="317"/>
      <c r="G53" s="317"/>
      <c r="H53" s="318">
        <f>C38+C52</f>
        <v>10174206.52</v>
      </c>
    </row>
    <row r="54" spans="1:8" ht="11.25" customHeight="1">
      <c r="A54" s="319"/>
      <c r="B54" s="320"/>
      <c r="C54" s="321"/>
      <c r="D54" s="321"/>
      <c r="E54" s="293"/>
      <c r="F54" s="291"/>
      <c r="G54" s="291"/>
      <c r="H54" s="322"/>
    </row>
    <row r="55" spans="1:8" ht="11.25" customHeight="1">
      <c r="A55" s="1045" t="s">
        <v>562</v>
      </c>
      <c r="B55" s="1037" t="s">
        <v>563</v>
      </c>
      <c r="C55" s="1061" t="s">
        <v>538</v>
      </c>
      <c r="D55" s="1061"/>
      <c r="E55" s="1061"/>
      <c r="F55" s="1061"/>
      <c r="G55" s="1061"/>
      <c r="H55" s="1061"/>
    </row>
    <row r="56" spans="1:8" ht="11.25" customHeight="1">
      <c r="A56" s="1045"/>
      <c r="B56" s="1037"/>
      <c r="C56" s="1021" t="s">
        <v>564</v>
      </c>
      <c r="D56" s="1021" t="s">
        <v>120</v>
      </c>
      <c r="E56" s="1062" t="s">
        <v>565</v>
      </c>
      <c r="F56" s="1063" t="s">
        <v>566</v>
      </c>
      <c r="G56" s="1037" t="s">
        <v>567</v>
      </c>
      <c r="H56" s="1037"/>
    </row>
    <row r="57" spans="1:8" ht="11.25" customHeight="1">
      <c r="A57" s="1045"/>
      <c r="B57" s="1037"/>
      <c r="C57" s="1021"/>
      <c r="D57" s="1021"/>
      <c r="E57" s="1021"/>
      <c r="F57" s="1063"/>
      <c r="G57" s="1037"/>
      <c r="H57" s="1037"/>
    </row>
    <row r="58" spans="1:8" ht="25.5" customHeight="1">
      <c r="A58" s="1045"/>
      <c r="B58" s="1037"/>
      <c r="C58" s="1021"/>
      <c r="D58" s="1021"/>
      <c r="E58" s="1021"/>
      <c r="F58" s="323" t="s">
        <v>568</v>
      </c>
      <c r="G58" s="1037"/>
      <c r="H58" s="1037"/>
    </row>
    <row r="59" spans="1:8" ht="28.5" customHeight="1">
      <c r="A59" s="1045"/>
      <c r="B59" s="1037"/>
      <c r="C59" s="1021"/>
      <c r="D59" s="1021"/>
      <c r="E59" s="324" t="s">
        <v>40</v>
      </c>
      <c r="F59" s="323" t="s">
        <v>41</v>
      </c>
      <c r="G59" s="325" t="s">
        <v>569</v>
      </c>
      <c r="H59" s="296" t="s">
        <v>570</v>
      </c>
    </row>
    <row r="60" spans="1:8" ht="11.25" customHeight="1">
      <c r="A60" s="307" t="s">
        <v>571</v>
      </c>
      <c r="B60" s="326">
        <f aca="true" t="shared" si="0" ref="B60:H60">SUM(B61:B63)</f>
        <v>27718799.06</v>
      </c>
      <c r="C60" s="327">
        <f t="shared" si="0"/>
        <v>11126764.870000001</v>
      </c>
      <c r="D60" s="328">
        <f t="shared" si="0"/>
        <v>8640592.36</v>
      </c>
      <c r="E60" s="329">
        <f t="shared" si="0"/>
        <v>0</v>
      </c>
      <c r="F60" s="330">
        <f t="shared" si="0"/>
        <v>1340</v>
      </c>
      <c r="G60" s="301">
        <f t="shared" si="0"/>
        <v>450900.59</v>
      </c>
      <c r="H60" s="331">
        <f t="shared" si="0"/>
        <v>450900.59</v>
      </c>
    </row>
    <row r="61" spans="1:8" ht="11.25" customHeight="1">
      <c r="A61" s="304" t="s">
        <v>572</v>
      </c>
      <c r="B61" s="332">
        <v>15803881.54</v>
      </c>
      <c r="C61" s="333">
        <v>6555468.51</v>
      </c>
      <c r="D61" s="334">
        <v>6555468.51</v>
      </c>
      <c r="E61" s="335">
        <v>0</v>
      </c>
      <c r="F61" s="336">
        <v>0</v>
      </c>
      <c r="G61" s="336">
        <v>0</v>
      </c>
      <c r="H61" s="337">
        <v>0</v>
      </c>
    </row>
    <row r="62" spans="1:8" ht="11.25" customHeight="1">
      <c r="A62" s="307" t="s">
        <v>573</v>
      </c>
      <c r="B62" s="334">
        <v>247876.48</v>
      </c>
      <c r="C62" s="333">
        <v>24875.48</v>
      </c>
      <c r="D62" s="334">
        <v>24875.48</v>
      </c>
      <c r="E62" s="335">
        <v>0</v>
      </c>
      <c r="F62" s="338">
        <v>0</v>
      </c>
      <c r="G62" s="336">
        <v>0</v>
      </c>
      <c r="H62" s="337">
        <v>0</v>
      </c>
    </row>
    <row r="63" spans="1:8" ht="11.25" customHeight="1">
      <c r="A63" s="304" t="s">
        <v>574</v>
      </c>
      <c r="B63" s="332">
        <v>11667041.04</v>
      </c>
      <c r="C63" s="333">
        <v>4546420.88</v>
      </c>
      <c r="D63" s="334">
        <v>2060248.37</v>
      </c>
      <c r="E63" s="335">
        <v>0</v>
      </c>
      <c r="F63" s="338">
        <v>1340</v>
      </c>
      <c r="G63" s="336">
        <v>450900.59</v>
      </c>
      <c r="H63" s="337">
        <v>450900.59</v>
      </c>
    </row>
    <row r="64" spans="1:8" ht="11.25" customHeight="1">
      <c r="A64" s="307" t="s">
        <v>575</v>
      </c>
      <c r="B64" s="339">
        <f aca="true" t="shared" si="1" ref="B64:H64">B60-B62</f>
        <v>27470922.58</v>
      </c>
      <c r="C64" s="339">
        <f t="shared" si="1"/>
        <v>11101889.39</v>
      </c>
      <c r="D64" s="339">
        <f t="shared" si="1"/>
        <v>8615716.879999999</v>
      </c>
      <c r="E64" s="339">
        <f t="shared" si="1"/>
        <v>0</v>
      </c>
      <c r="F64" s="339">
        <f t="shared" si="1"/>
        <v>1340</v>
      </c>
      <c r="G64" s="339">
        <f t="shared" si="1"/>
        <v>450900.59</v>
      </c>
      <c r="H64" s="339">
        <f t="shared" si="1"/>
        <v>450900.59</v>
      </c>
    </row>
    <row r="65" spans="1:8" ht="11.25" customHeight="1">
      <c r="A65" s="307" t="s">
        <v>576</v>
      </c>
      <c r="B65" s="328">
        <f aca="true" t="shared" si="2" ref="B65:H65">B66+B67+B72</f>
        <v>8830587.09</v>
      </c>
      <c r="C65" s="328">
        <f t="shared" si="2"/>
        <v>685804.69</v>
      </c>
      <c r="D65" s="328">
        <f t="shared" si="2"/>
        <v>116405</v>
      </c>
      <c r="E65" s="328">
        <f t="shared" si="2"/>
        <v>0</v>
      </c>
      <c r="F65" s="328">
        <f t="shared" si="2"/>
        <v>157750.13</v>
      </c>
      <c r="G65" s="328">
        <f t="shared" si="2"/>
        <v>30228.78</v>
      </c>
      <c r="H65" s="328">
        <f t="shared" si="2"/>
        <v>30228.78</v>
      </c>
    </row>
    <row r="66" spans="1:8" ht="11.25" customHeight="1">
      <c r="A66" s="306" t="s">
        <v>577</v>
      </c>
      <c r="B66" s="335">
        <v>8445587.09</v>
      </c>
      <c r="C66" s="338">
        <v>685804.69</v>
      </c>
      <c r="D66" s="336">
        <v>116405</v>
      </c>
      <c r="E66" s="335">
        <v>0</v>
      </c>
      <c r="F66" s="338">
        <v>157750.13</v>
      </c>
      <c r="G66" s="336">
        <v>30228.78</v>
      </c>
      <c r="H66" s="337">
        <v>30228.78</v>
      </c>
    </row>
    <row r="67" spans="1:8" ht="11.25" customHeight="1">
      <c r="A67" s="304" t="s">
        <v>578</v>
      </c>
      <c r="B67" s="328">
        <f aca="true" t="shared" si="3" ref="B67:H67">B68+B69+B70+B71</f>
        <v>0</v>
      </c>
      <c r="C67" s="328">
        <f t="shared" si="3"/>
        <v>0</v>
      </c>
      <c r="D67" s="328">
        <f t="shared" si="3"/>
        <v>0</v>
      </c>
      <c r="E67" s="328">
        <f t="shared" si="3"/>
        <v>0</v>
      </c>
      <c r="F67" s="328">
        <f t="shared" si="3"/>
        <v>0</v>
      </c>
      <c r="G67" s="328">
        <f t="shared" si="3"/>
        <v>0</v>
      </c>
      <c r="H67" s="328">
        <f t="shared" si="3"/>
        <v>0</v>
      </c>
    </row>
    <row r="68" spans="1:8" ht="14.25" customHeight="1">
      <c r="A68" s="307" t="s">
        <v>579</v>
      </c>
      <c r="B68" s="334">
        <v>0</v>
      </c>
      <c r="C68" s="333">
        <v>0</v>
      </c>
      <c r="D68" s="334">
        <v>0</v>
      </c>
      <c r="E68" s="335">
        <v>0</v>
      </c>
      <c r="F68" s="338">
        <v>0</v>
      </c>
      <c r="G68" s="336">
        <v>0</v>
      </c>
      <c r="H68" s="337">
        <v>0</v>
      </c>
    </row>
    <row r="69" spans="1:8" ht="14.25" customHeight="1">
      <c r="A69" s="307" t="s">
        <v>580</v>
      </c>
      <c r="B69" s="334">
        <v>0</v>
      </c>
      <c r="C69" s="333">
        <v>0</v>
      </c>
      <c r="D69" s="334">
        <v>0</v>
      </c>
      <c r="E69" s="335">
        <v>0</v>
      </c>
      <c r="F69" s="338">
        <v>0</v>
      </c>
      <c r="G69" s="336">
        <v>0</v>
      </c>
      <c r="H69" s="337">
        <v>0</v>
      </c>
    </row>
    <row r="70" spans="1:8" ht="11.25" customHeight="1">
      <c r="A70" s="307" t="s">
        <v>581</v>
      </c>
      <c r="B70" s="334">
        <v>0</v>
      </c>
      <c r="C70" s="333">
        <v>0</v>
      </c>
      <c r="D70" s="334">
        <v>0</v>
      </c>
      <c r="E70" s="335">
        <v>0</v>
      </c>
      <c r="F70" s="338">
        <v>0</v>
      </c>
      <c r="G70" s="336">
        <v>0</v>
      </c>
      <c r="H70" s="337">
        <v>0</v>
      </c>
    </row>
    <row r="71" spans="1:8" ht="14.25" customHeight="1">
      <c r="A71" s="304" t="s">
        <v>582</v>
      </c>
      <c r="B71" s="334">
        <v>0</v>
      </c>
      <c r="C71" s="333">
        <v>0</v>
      </c>
      <c r="D71" s="334">
        <v>0</v>
      </c>
      <c r="E71" s="335">
        <v>0</v>
      </c>
      <c r="F71" s="338">
        <v>0</v>
      </c>
      <c r="G71" s="336">
        <v>0</v>
      </c>
      <c r="H71" s="337">
        <v>0</v>
      </c>
    </row>
    <row r="72" spans="1:8" ht="14.25" customHeight="1">
      <c r="A72" s="307" t="s">
        <v>583</v>
      </c>
      <c r="B72" s="334">
        <v>385000</v>
      </c>
      <c r="C72" s="333">
        <v>0</v>
      </c>
      <c r="D72" s="334">
        <v>0</v>
      </c>
      <c r="E72" s="335">
        <v>0</v>
      </c>
      <c r="F72" s="338">
        <v>0</v>
      </c>
      <c r="G72" s="336">
        <v>0</v>
      </c>
      <c r="H72" s="337">
        <v>0</v>
      </c>
    </row>
    <row r="73" spans="1:8" ht="14.25" customHeight="1">
      <c r="A73" s="307" t="s">
        <v>584</v>
      </c>
      <c r="B73" s="340">
        <f aca="true" t="shared" si="4" ref="B73:H73">B65-B68-B69-B70-B72</f>
        <v>8445587.09</v>
      </c>
      <c r="C73" s="340">
        <f t="shared" si="4"/>
        <v>685804.69</v>
      </c>
      <c r="D73" s="340">
        <f t="shared" si="4"/>
        <v>116405</v>
      </c>
      <c r="E73" s="340">
        <f t="shared" si="4"/>
        <v>0</v>
      </c>
      <c r="F73" s="340">
        <f t="shared" si="4"/>
        <v>157750.13</v>
      </c>
      <c r="G73" s="340">
        <f t="shared" si="4"/>
        <v>30228.78</v>
      </c>
      <c r="H73" s="340">
        <f t="shared" si="4"/>
        <v>30228.78</v>
      </c>
    </row>
    <row r="74" spans="1:8" ht="14.25" customHeight="1">
      <c r="A74" s="307" t="s">
        <v>585</v>
      </c>
      <c r="B74" s="341">
        <v>4831256.85</v>
      </c>
      <c r="C74" s="342">
        <v>0</v>
      </c>
      <c r="D74" s="343">
        <v>0</v>
      </c>
      <c r="E74" s="344">
        <v>0</v>
      </c>
      <c r="F74" s="342">
        <v>0</v>
      </c>
      <c r="G74" s="342">
        <v>0</v>
      </c>
      <c r="H74" s="343">
        <v>0</v>
      </c>
    </row>
    <row r="75" spans="1:8" ht="11.25" customHeight="1">
      <c r="A75" s="345" t="s">
        <v>586</v>
      </c>
      <c r="B75" s="346">
        <f aca="true" t="shared" si="5" ref="B75:H75">B64+B73+B74</f>
        <v>40747766.52</v>
      </c>
      <c r="C75" s="346">
        <f t="shared" si="5"/>
        <v>11787694.08</v>
      </c>
      <c r="D75" s="346">
        <f t="shared" si="5"/>
        <v>8732121.879999999</v>
      </c>
      <c r="E75" s="346">
        <f t="shared" si="5"/>
        <v>0</v>
      </c>
      <c r="F75" s="346">
        <f t="shared" si="5"/>
        <v>159090.13</v>
      </c>
      <c r="G75" s="346">
        <f t="shared" si="5"/>
        <v>481129.37</v>
      </c>
      <c r="H75" s="346">
        <f t="shared" si="5"/>
        <v>481129.37</v>
      </c>
    </row>
    <row r="76" spans="1:8" ht="11.25" customHeight="1">
      <c r="A76" s="347"/>
      <c r="B76" s="348"/>
      <c r="C76" s="349"/>
      <c r="D76" s="350"/>
      <c r="E76" s="293"/>
      <c r="F76" s="293"/>
      <c r="G76" s="293"/>
      <c r="H76" s="322"/>
    </row>
    <row r="77" spans="1:8" ht="11.25" customHeight="1">
      <c r="A77" s="351" t="s">
        <v>587</v>
      </c>
      <c r="B77" s="1057">
        <f>H53-(E75+F75+H75)</f>
        <v>9533987.02</v>
      </c>
      <c r="C77" s="1057"/>
      <c r="D77" s="1057"/>
      <c r="E77" s="1057"/>
      <c r="F77" s="1057"/>
      <c r="G77" s="1057"/>
      <c r="H77" s="1057"/>
    </row>
    <row r="78" spans="1:8" ht="11.25" customHeight="1">
      <c r="A78" s="352"/>
      <c r="B78" s="353"/>
      <c r="C78" s="353"/>
      <c r="D78" s="353"/>
      <c r="E78" s="353"/>
      <c r="F78" s="353"/>
      <c r="G78" s="353"/>
      <c r="H78" s="353"/>
    </row>
    <row r="79" spans="1:8" ht="11.25" customHeight="1">
      <c r="A79" s="1058" t="s">
        <v>588</v>
      </c>
      <c r="B79" s="1032" t="s">
        <v>529</v>
      </c>
      <c r="C79" s="1032"/>
      <c r="D79" s="1032"/>
      <c r="E79" s="1032"/>
      <c r="F79" s="1032"/>
      <c r="G79" s="1032"/>
      <c r="H79" s="1032"/>
    </row>
    <row r="80" spans="1:8" ht="11.25" customHeight="1">
      <c r="A80" s="1058"/>
      <c r="B80" s="1032"/>
      <c r="C80" s="1032"/>
      <c r="D80" s="1032"/>
      <c r="E80" s="1032"/>
      <c r="F80" s="1032"/>
      <c r="G80" s="1032"/>
      <c r="H80" s="1032"/>
    </row>
    <row r="81" spans="1:8" ht="11.25" customHeight="1">
      <c r="A81" s="354" t="s">
        <v>589</v>
      </c>
      <c r="B81" s="1060">
        <v>-13087400</v>
      </c>
      <c r="C81" s="1060"/>
      <c r="D81" s="1060"/>
      <c r="E81" s="1060"/>
      <c r="F81" s="1060"/>
      <c r="G81" s="1060"/>
      <c r="H81" s="1060"/>
    </row>
    <row r="82" spans="1:8" ht="11.25" customHeight="1">
      <c r="A82" s="352"/>
      <c r="B82" s="355"/>
      <c r="C82" s="355"/>
      <c r="D82" s="355"/>
      <c r="E82" s="355"/>
      <c r="F82" s="355"/>
      <c r="G82" s="355"/>
      <c r="H82" s="355"/>
    </row>
    <row r="83" spans="1:8" ht="11.25" customHeight="1">
      <c r="A83" s="356"/>
      <c r="B83" s="1025" t="s">
        <v>538</v>
      </c>
      <c r="C83" s="1025"/>
      <c r="D83" s="1025"/>
      <c r="E83" s="1025"/>
      <c r="F83" s="1025"/>
      <c r="G83" s="1025"/>
      <c r="H83" s="1025"/>
    </row>
    <row r="84" spans="1:8" ht="11.25" customHeight="1">
      <c r="A84" s="297" t="s">
        <v>590</v>
      </c>
      <c r="B84" s="1025" t="s">
        <v>591</v>
      </c>
      <c r="C84" s="1025"/>
      <c r="D84" s="1025"/>
      <c r="E84" s="1025"/>
      <c r="F84" s="1025"/>
      <c r="G84" s="1025"/>
      <c r="H84" s="1025"/>
    </row>
    <row r="85" spans="1:8" ht="11.25" customHeight="1">
      <c r="A85" s="357"/>
      <c r="B85" s="1025"/>
      <c r="C85" s="1025"/>
      <c r="D85" s="1025"/>
      <c r="E85" s="1025"/>
      <c r="F85" s="1025"/>
      <c r="G85" s="1025"/>
      <c r="H85" s="1025"/>
    </row>
    <row r="86" spans="1:8" ht="11.25" customHeight="1">
      <c r="A86" s="304" t="s">
        <v>592</v>
      </c>
      <c r="B86" s="1056">
        <v>6942.09</v>
      </c>
      <c r="C86" s="1056"/>
      <c r="D86" s="1056"/>
      <c r="E86" s="1056"/>
      <c r="F86" s="1056"/>
      <c r="G86" s="1056"/>
      <c r="H86" s="1056"/>
    </row>
    <row r="87" spans="1:8" ht="11.25" customHeight="1">
      <c r="A87" s="358" t="s">
        <v>593</v>
      </c>
      <c r="B87" s="1056">
        <v>52575.17</v>
      </c>
      <c r="C87" s="1056"/>
      <c r="D87" s="1056"/>
      <c r="E87" s="1056"/>
      <c r="F87" s="1056"/>
      <c r="G87" s="1056"/>
      <c r="H87" s="1056"/>
    </row>
    <row r="88" spans="1:8" ht="11.25" customHeight="1">
      <c r="A88" s="304"/>
      <c r="B88" s="321"/>
      <c r="C88" s="321"/>
      <c r="D88" s="321"/>
      <c r="E88" s="293"/>
      <c r="F88" s="293"/>
      <c r="G88" s="293"/>
      <c r="H88" s="322"/>
    </row>
    <row r="89" spans="1:8" ht="11.25" customHeight="1">
      <c r="A89" s="351" t="s">
        <v>594</v>
      </c>
      <c r="B89" s="1057">
        <f>B77+(B86-B87)</f>
        <v>9488353.94</v>
      </c>
      <c r="C89" s="1057"/>
      <c r="D89" s="1057"/>
      <c r="E89" s="1057"/>
      <c r="F89" s="1057"/>
      <c r="G89" s="1057"/>
      <c r="H89" s="1057"/>
    </row>
    <row r="90" spans="1:8" ht="11.25" customHeight="1">
      <c r="A90" s="359"/>
      <c r="B90" s="293"/>
      <c r="C90" s="293"/>
      <c r="D90" s="293"/>
      <c r="E90" s="293"/>
      <c r="F90" s="293"/>
      <c r="G90" s="293"/>
      <c r="H90" s="322"/>
    </row>
    <row r="91" spans="1:8" ht="11.25" customHeight="1">
      <c r="A91" s="1058" t="s">
        <v>595</v>
      </c>
      <c r="B91" s="1032" t="s">
        <v>529</v>
      </c>
      <c r="C91" s="1032"/>
      <c r="D91" s="1032"/>
      <c r="E91" s="1032"/>
      <c r="F91" s="1032"/>
      <c r="G91" s="1032"/>
      <c r="H91" s="1032"/>
    </row>
    <row r="92" spans="1:8" ht="11.25" customHeight="1">
      <c r="A92" s="1058"/>
      <c r="B92" s="1032"/>
      <c r="C92" s="1032"/>
      <c r="D92" s="1032"/>
      <c r="E92" s="1032"/>
      <c r="F92" s="1032"/>
      <c r="G92" s="1032"/>
      <c r="H92" s="1032"/>
    </row>
    <row r="93" spans="1:8" ht="11.25" customHeight="1">
      <c r="A93" s="360" t="s">
        <v>589</v>
      </c>
      <c r="B93" s="1059">
        <v>0</v>
      </c>
      <c r="C93" s="1059"/>
      <c r="D93" s="1059"/>
      <c r="E93" s="1059"/>
      <c r="F93" s="1059"/>
      <c r="G93" s="1059"/>
      <c r="H93" s="1059"/>
    </row>
    <row r="94" spans="1:8" ht="11.25" customHeight="1">
      <c r="A94" s="359"/>
      <c r="B94" s="293"/>
      <c r="C94" s="293"/>
      <c r="D94" s="293"/>
      <c r="E94" s="293"/>
      <c r="F94" s="293"/>
      <c r="G94" s="293"/>
      <c r="H94" s="322"/>
    </row>
    <row r="95" spans="1:8" ht="11.25" customHeight="1">
      <c r="A95" s="1052" t="s">
        <v>596</v>
      </c>
      <c r="B95" s="1052"/>
      <c r="C95" s="1052"/>
      <c r="D95" s="1052"/>
      <c r="E95" s="1052"/>
      <c r="F95" s="1052"/>
      <c r="G95" s="1052"/>
      <c r="H95" s="1052"/>
    </row>
    <row r="96" spans="1:8" ht="11.25" customHeight="1">
      <c r="A96" s="1052"/>
      <c r="B96" s="1052"/>
      <c r="C96" s="1052"/>
      <c r="D96" s="1052"/>
      <c r="E96" s="1052"/>
      <c r="F96" s="1052"/>
      <c r="G96" s="1052"/>
      <c r="H96" s="1052"/>
    </row>
    <row r="97" spans="1:8" ht="11.25" customHeight="1">
      <c r="A97" s="295"/>
      <c r="B97" s="1020" t="s">
        <v>36</v>
      </c>
      <c r="C97" s="1020"/>
      <c r="D97" s="1020"/>
      <c r="E97" s="1020"/>
      <c r="F97" s="1020"/>
      <c r="G97" s="1020"/>
      <c r="H97" s="1020"/>
    </row>
    <row r="98" spans="1:8" ht="11.25" customHeight="1">
      <c r="A98" s="297" t="s">
        <v>597</v>
      </c>
      <c r="B98" s="1053" t="s">
        <v>513</v>
      </c>
      <c r="C98" s="1053"/>
      <c r="D98" s="1053"/>
      <c r="E98" s="1053"/>
      <c r="F98" s="1054" t="s">
        <v>598</v>
      </c>
      <c r="G98" s="1054"/>
      <c r="H98" s="1054"/>
    </row>
    <row r="99" spans="1:8" ht="11.25" customHeight="1">
      <c r="A99" s="298"/>
      <c r="B99" s="1021" t="s">
        <v>40</v>
      </c>
      <c r="C99" s="1021"/>
      <c r="D99" s="1021"/>
      <c r="E99" s="1021"/>
      <c r="F99" s="1055" t="s">
        <v>41</v>
      </c>
      <c r="G99" s="1055"/>
      <c r="H99" s="1055"/>
    </row>
    <row r="100" spans="1:8" ht="11.25" customHeight="1">
      <c r="A100" s="304" t="s">
        <v>599</v>
      </c>
      <c r="B100" s="1047">
        <v>0</v>
      </c>
      <c r="C100" s="1047"/>
      <c r="D100" s="1047"/>
      <c r="E100" s="1047"/>
      <c r="F100" s="1049">
        <v>0</v>
      </c>
      <c r="G100" s="1049"/>
      <c r="H100" s="1049"/>
    </row>
    <row r="101" spans="1:8" ht="11.25" customHeight="1">
      <c r="A101" s="304" t="s">
        <v>600</v>
      </c>
      <c r="B101" s="1047">
        <v>0</v>
      </c>
      <c r="C101" s="1047"/>
      <c r="D101" s="1047"/>
      <c r="E101" s="1047"/>
      <c r="F101" s="1049">
        <v>0</v>
      </c>
      <c r="G101" s="1049"/>
      <c r="H101" s="1049"/>
    </row>
    <row r="102" spans="1:8" ht="11.25" customHeight="1">
      <c r="A102" s="361" t="s">
        <v>517</v>
      </c>
      <c r="B102" s="1047">
        <v>0</v>
      </c>
      <c r="C102" s="1047"/>
      <c r="D102" s="1047"/>
      <c r="E102" s="1047"/>
      <c r="F102" s="1049">
        <v>77959.35</v>
      </c>
      <c r="G102" s="1049"/>
      <c r="H102" s="1049"/>
    </row>
    <row r="103" spans="1:8" ht="11.25" customHeight="1">
      <c r="A103" s="361" t="s">
        <v>601</v>
      </c>
      <c r="B103" s="1047">
        <v>1451283.68</v>
      </c>
      <c r="C103" s="1047"/>
      <c r="D103" s="1047"/>
      <c r="E103" s="1047"/>
      <c r="F103" s="1049">
        <v>1558195.14</v>
      </c>
      <c r="G103" s="1049"/>
      <c r="H103" s="1049"/>
    </row>
    <row r="104" spans="1:8" ht="11.25" customHeight="1">
      <c r="A104" s="361" t="s">
        <v>602</v>
      </c>
      <c r="B104" s="1047">
        <v>1639325.92</v>
      </c>
      <c r="C104" s="1047"/>
      <c r="D104" s="1047"/>
      <c r="E104" s="1047"/>
      <c r="F104" s="1049">
        <v>1480235.79</v>
      </c>
      <c r="G104" s="1049"/>
      <c r="H104" s="1049"/>
    </row>
    <row r="105" spans="1:8" ht="11.25" customHeight="1">
      <c r="A105" s="361" t="s">
        <v>520</v>
      </c>
      <c r="B105" s="1047">
        <v>0</v>
      </c>
      <c r="C105" s="1047"/>
      <c r="D105" s="1047"/>
      <c r="E105" s="1047"/>
      <c r="F105" s="1049">
        <v>0</v>
      </c>
      <c r="G105" s="1049"/>
      <c r="H105" s="1049"/>
    </row>
    <row r="106" spans="1:8" ht="11.25" customHeight="1">
      <c r="A106" s="304" t="s">
        <v>603</v>
      </c>
      <c r="B106" s="1048">
        <v>0</v>
      </c>
      <c r="C106" s="1048"/>
      <c r="D106" s="1048"/>
      <c r="E106" s="1048"/>
      <c r="F106" s="1049">
        <v>-77959.35</v>
      </c>
      <c r="G106" s="1049"/>
      <c r="H106" s="1049"/>
    </row>
    <row r="107" spans="1:8" ht="11.25" customHeight="1">
      <c r="A107" s="362" t="s">
        <v>604</v>
      </c>
      <c r="B107" s="1050">
        <f>B106-F106</f>
        <v>77959.35</v>
      </c>
      <c r="C107" s="1050"/>
      <c r="D107" s="1050"/>
      <c r="E107" s="1050"/>
      <c r="F107" s="1035">
        <f>B106-F106</f>
        <v>77959.35</v>
      </c>
      <c r="G107" s="1035"/>
      <c r="H107" s="1035"/>
    </row>
    <row r="108" spans="1:8" ht="11.25" customHeight="1">
      <c r="A108" s="363"/>
      <c r="B108" s="364"/>
      <c r="C108" s="365"/>
      <c r="D108" s="365"/>
      <c r="E108" s="365"/>
      <c r="F108" s="365"/>
      <c r="G108" s="365"/>
      <c r="H108" s="366"/>
    </row>
    <row r="109" spans="1:8" ht="11.25" customHeight="1">
      <c r="A109" s="367"/>
      <c r="B109" s="1025" t="s">
        <v>538</v>
      </c>
      <c r="C109" s="1025"/>
      <c r="D109" s="1025"/>
      <c r="E109" s="1025"/>
      <c r="F109" s="1025"/>
      <c r="G109" s="1025"/>
      <c r="H109" s="1025"/>
    </row>
    <row r="110" spans="1:8" ht="11.25" customHeight="1">
      <c r="A110" s="368" t="s">
        <v>605</v>
      </c>
      <c r="B110" s="1025"/>
      <c r="C110" s="1025"/>
      <c r="D110" s="1025"/>
      <c r="E110" s="1025"/>
      <c r="F110" s="1025"/>
      <c r="G110" s="1025"/>
      <c r="H110" s="1025"/>
    </row>
    <row r="111" spans="1:8" ht="11.25" customHeight="1">
      <c r="A111" s="369"/>
      <c r="B111" s="1025"/>
      <c r="C111" s="1025"/>
      <c r="D111" s="1025"/>
      <c r="E111" s="1025"/>
      <c r="F111" s="1025"/>
      <c r="G111" s="1025"/>
      <c r="H111" s="1025"/>
    </row>
    <row r="112" spans="1:8" ht="14.25" customHeight="1">
      <c r="A112" s="370" t="s">
        <v>606</v>
      </c>
      <c r="B112" s="1051">
        <f>B104-F104</f>
        <v>159090.1299999999</v>
      </c>
      <c r="C112" s="1051"/>
      <c r="D112" s="1051"/>
      <c r="E112" s="1051"/>
      <c r="F112" s="1051"/>
      <c r="G112" s="1051"/>
      <c r="H112" s="1051"/>
    </row>
    <row r="113" spans="1:8" ht="14.25" customHeight="1">
      <c r="A113" s="306" t="s">
        <v>607</v>
      </c>
      <c r="B113" s="1047">
        <v>0</v>
      </c>
      <c r="C113" s="1047"/>
      <c r="D113" s="1047"/>
      <c r="E113" s="1047"/>
      <c r="F113" s="1047"/>
      <c r="G113" s="1047"/>
      <c r="H113" s="1047"/>
    </row>
    <row r="114" spans="1:8" ht="14.25" customHeight="1">
      <c r="A114" s="306" t="s">
        <v>608</v>
      </c>
      <c r="B114" s="1047">
        <v>0</v>
      </c>
      <c r="C114" s="1047"/>
      <c r="D114" s="1047"/>
      <c r="E114" s="1047"/>
      <c r="F114" s="1047"/>
      <c r="G114" s="1047"/>
      <c r="H114" s="1047"/>
    </row>
    <row r="115" spans="1:8" ht="16.5" customHeight="1">
      <c r="A115" s="306" t="s">
        <v>609</v>
      </c>
      <c r="B115" s="1047">
        <v>0</v>
      </c>
      <c r="C115" s="1047"/>
      <c r="D115" s="1047"/>
      <c r="E115" s="1047"/>
      <c r="F115" s="1047"/>
      <c r="G115" s="1047"/>
      <c r="H115" s="1047"/>
    </row>
    <row r="116" spans="1:8" ht="16.5" customHeight="1">
      <c r="A116" s="306" t="s">
        <v>610</v>
      </c>
      <c r="B116" s="1047">
        <v>0</v>
      </c>
      <c r="C116" s="1047"/>
      <c r="D116" s="1047"/>
      <c r="E116" s="1047"/>
      <c r="F116" s="1047"/>
      <c r="G116" s="1047"/>
      <c r="H116" s="1047"/>
    </row>
    <row r="117" spans="1:8" ht="16.5" customHeight="1">
      <c r="A117" s="306" t="s">
        <v>611</v>
      </c>
      <c r="B117" s="1047">
        <v>0</v>
      </c>
      <c r="C117" s="1047"/>
      <c r="D117" s="1047"/>
      <c r="E117" s="1047"/>
      <c r="F117" s="1047"/>
      <c r="G117" s="1047"/>
      <c r="H117" s="1047"/>
    </row>
    <row r="118" spans="1:8" ht="26.25" customHeight="1">
      <c r="A118" s="371" t="s">
        <v>612</v>
      </c>
      <c r="B118" s="1035">
        <f>107-112-113+114+115-116+117</f>
        <v>112</v>
      </c>
      <c r="C118" s="1035"/>
      <c r="D118" s="1035"/>
      <c r="E118" s="1035"/>
      <c r="F118" s="1035"/>
      <c r="G118" s="1035"/>
      <c r="H118" s="1035"/>
    </row>
    <row r="119" spans="1:8" ht="11.25" customHeight="1">
      <c r="A119" s="359"/>
      <c r="B119" s="293"/>
      <c r="C119" s="293"/>
      <c r="D119" s="293"/>
      <c r="E119" s="293"/>
      <c r="F119" s="293"/>
      <c r="G119" s="293"/>
      <c r="H119" s="322"/>
    </row>
    <row r="120" spans="1:8" ht="14.25" customHeight="1">
      <c r="A120" s="351" t="s">
        <v>613</v>
      </c>
      <c r="B120" s="1044">
        <f>B118-(B86-B87)</f>
        <v>45745.08</v>
      </c>
      <c r="C120" s="1044"/>
      <c r="D120" s="1044"/>
      <c r="E120" s="1044"/>
      <c r="F120" s="1044"/>
      <c r="G120" s="1044"/>
      <c r="H120" s="1044"/>
    </row>
    <row r="121" spans="1:8" ht="11.25" customHeight="1">
      <c r="A121" s="372"/>
      <c r="B121" s="373"/>
      <c r="C121" s="293"/>
      <c r="D121" s="373"/>
      <c r="E121" s="373"/>
      <c r="F121" s="373"/>
      <c r="G121" s="373"/>
      <c r="H121" s="373"/>
    </row>
    <row r="122" spans="1:8" ht="11.25" customHeight="1">
      <c r="A122" s="1045" t="s">
        <v>614</v>
      </c>
      <c r="B122" s="1046" t="s">
        <v>452</v>
      </c>
      <c r="C122" s="1046"/>
      <c r="D122" s="1046"/>
      <c r="E122" s="1046"/>
      <c r="F122" s="1046"/>
      <c r="G122" s="1046"/>
      <c r="H122" s="1046"/>
    </row>
    <row r="123" spans="1:8" ht="11.25" customHeight="1">
      <c r="A123" s="1045"/>
      <c r="B123" s="1046"/>
      <c r="C123" s="1046"/>
      <c r="D123" s="1046"/>
      <c r="E123" s="1046"/>
      <c r="F123" s="1046"/>
      <c r="G123" s="1046"/>
      <c r="H123" s="1046"/>
    </row>
    <row r="124" spans="1:8" ht="11.25" customHeight="1">
      <c r="A124" s="374" t="s">
        <v>615</v>
      </c>
      <c r="B124" s="1038">
        <v>0</v>
      </c>
      <c r="C124" s="1038"/>
      <c r="D124" s="1038"/>
      <c r="E124" s="1038"/>
      <c r="F124" s="1038"/>
      <c r="G124" s="1038"/>
      <c r="H124" s="1038"/>
    </row>
    <row r="125" spans="1:8" ht="11.25" customHeight="1">
      <c r="A125" s="375" t="s">
        <v>115</v>
      </c>
      <c r="B125" s="1029">
        <v>0</v>
      </c>
      <c r="C125" s="1029"/>
      <c r="D125" s="1029"/>
      <c r="E125" s="1029"/>
      <c r="F125" s="1029"/>
      <c r="G125" s="1029"/>
      <c r="H125" s="1029"/>
    </row>
    <row r="126" spans="1:8" ht="11.25" customHeight="1">
      <c r="A126" s="376" t="s">
        <v>616</v>
      </c>
      <c r="B126" s="1029">
        <v>0</v>
      </c>
      <c r="C126" s="1029"/>
      <c r="D126" s="1029"/>
      <c r="E126" s="1029"/>
      <c r="F126" s="1029"/>
      <c r="G126" s="1029"/>
      <c r="H126" s="1029"/>
    </row>
    <row r="127" spans="1:8" ht="11.25" customHeight="1">
      <c r="A127" s="374" t="s">
        <v>454</v>
      </c>
      <c r="B127" s="1038">
        <v>0</v>
      </c>
      <c r="C127" s="1038"/>
      <c r="D127" s="1038"/>
      <c r="E127" s="1038"/>
      <c r="F127" s="1038"/>
      <c r="G127" s="1038"/>
      <c r="H127" s="1038"/>
    </row>
    <row r="128" spans="1:8" ht="11.25" customHeight="1">
      <c r="A128" s="372" t="s">
        <v>531</v>
      </c>
      <c r="B128" s="373"/>
      <c r="C128" s="293"/>
      <c r="D128" s="373"/>
      <c r="E128" s="373"/>
      <c r="F128" s="373"/>
      <c r="G128" s="373"/>
      <c r="H128" s="373"/>
    </row>
    <row r="129" spans="1:8" ht="11.25" customHeight="1">
      <c r="A129" s="377" t="s">
        <v>506</v>
      </c>
      <c r="B129" s="373"/>
      <c r="C129" s="293"/>
      <c r="D129" s="373"/>
      <c r="E129" s="373"/>
      <c r="F129" s="373"/>
      <c r="G129" s="373"/>
      <c r="H129" s="373"/>
    </row>
    <row r="130" spans="1:8" ht="11.25" customHeight="1">
      <c r="A130" s="373"/>
      <c r="B130" s="373"/>
      <c r="C130" s="293"/>
      <c r="D130" s="373"/>
      <c r="E130" s="373"/>
      <c r="F130" s="373"/>
      <c r="G130" s="373"/>
      <c r="H130" s="373"/>
    </row>
    <row r="131" spans="1:8" ht="11.25" customHeight="1">
      <c r="A131" s="1039" t="s">
        <v>617</v>
      </c>
      <c r="B131" s="1039"/>
      <c r="C131" s="1039"/>
      <c r="D131" s="1039"/>
      <c r="E131" s="1039"/>
      <c r="F131" s="1039"/>
      <c r="G131" s="1039"/>
      <c r="H131" s="1039"/>
    </row>
    <row r="132" spans="1:8" ht="11.25" customHeight="1">
      <c r="A132" s="1040" t="s">
        <v>618</v>
      </c>
      <c r="B132" s="1040"/>
      <c r="C132" s="1040"/>
      <c r="D132" s="1040"/>
      <c r="E132" s="1040"/>
      <c r="F132" s="1040"/>
      <c r="G132" s="1040"/>
      <c r="H132" s="1040"/>
    </row>
    <row r="133" spans="1:8" ht="11.25" customHeight="1">
      <c r="A133" s="373"/>
      <c r="B133" s="373"/>
      <c r="C133" s="293"/>
      <c r="D133" s="373"/>
      <c r="E133" s="373"/>
      <c r="F133" s="373"/>
      <c r="G133" s="373"/>
      <c r="H133" s="373"/>
    </row>
    <row r="134" spans="1:8" ht="11.25" customHeight="1">
      <c r="A134" s="1024" t="s">
        <v>619</v>
      </c>
      <c r="B134" s="1024"/>
      <c r="C134" s="1024"/>
      <c r="D134" s="1024"/>
      <c r="E134" s="1024"/>
      <c r="F134" s="1024"/>
      <c r="G134" s="1024"/>
      <c r="H134" s="1024"/>
    </row>
    <row r="135" spans="1:8" ht="11.25" customHeight="1">
      <c r="A135" s="1024"/>
      <c r="B135" s="1024"/>
      <c r="C135" s="1024"/>
      <c r="D135" s="1024"/>
      <c r="E135" s="1024"/>
      <c r="F135" s="1024"/>
      <c r="G135" s="1024"/>
      <c r="H135" s="1024"/>
    </row>
    <row r="136" spans="1:8" ht="11.25" customHeight="1">
      <c r="A136" s="295"/>
      <c r="B136" s="1025" t="s">
        <v>34</v>
      </c>
      <c r="C136" s="1025"/>
      <c r="D136" s="1037" t="s">
        <v>35</v>
      </c>
      <c r="E136" s="1037"/>
      <c r="F136" s="1037"/>
      <c r="G136" s="1037"/>
      <c r="H136" s="1037"/>
    </row>
    <row r="137" spans="1:8" ht="11.25" customHeight="1">
      <c r="A137" s="378" t="s">
        <v>539</v>
      </c>
      <c r="B137" s="1025"/>
      <c r="C137" s="1025"/>
      <c r="D137" s="1041" t="s">
        <v>407</v>
      </c>
      <c r="E137" s="1041"/>
      <c r="F137" s="1042" t="s">
        <v>407</v>
      </c>
      <c r="G137" s="1042"/>
      <c r="H137" s="1042"/>
    </row>
    <row r="138" spans="1:8" ht="11.25" customHeight="1">
      <c r="A138" s="298"/>
      <c r="B138" s="1025"/>
      <c r="C138" s="1025"/>
      <c r="D138" s="1043" t="s">
        <v>620</v>
      </c>
      <c r="E138" s="1043"/>
      <c r="F138" s="1027" t="s">
        <v>621</v>
      </c>
      <c r="G138" s="1027"/>
      <c r="H138" s="1027"/>
    </row>
    <row r="139" spans="1:8" ht="11.25" customHeight="1">
      <c r="A139" s="381" t="s">
        <v>622</v>
      </c>
      <c r="B139" s="1035">
        <f>B15+B40</f>
        <v>33495000</v>
      </c>
      <c r="C139" s="1035"/>
      <c r="D139" s="1035">
        <f>C15+C40</f>
        <v>10181148.61</v>
      </c>
      <c r="E139" s="1035"/>
      <c r="F139" s="1036">
        <v>0</v>
      </c>
      <c r="G139" s="1036"/>
      <c r="H139" s="1036"/>
    </row>
    <row r="140" spans="1:8" ht="11.25" customHeight="1">
      <c r="A140" s="359"/>
      <c r="B140" s="293"/>
      <c r="C140" s="293"/>
      <c r="D140" s="293"/>
      <c r="E140" s="293"/>
      <c r="F140" s="293"/>
      <c r="G140" s="293"/>
      <c r="H140" s="322"/>
    </row>
    <row r="141" spans="1:8" ht="26.25" customHeight="1">
      <c r="A141" s="295"/>
      <c r="B141" s="380" t="s">
        <v>199</v>
      </c>
      <c r="C141" s="1037" t="s">
        <v>119</v>
      </c>
      <c r="D141" s="1037"/>
      <c r="E141" s="1037" t="s">
        <v>120</v>
      </c>
      <c r="F141" s="1037"/>
      <c r="G141" s="1037" t="s">
        <v>191</v>
      </c>
      <c r="H141" s="1037"/>
    </row>
    <row r="142" spans="1:8" ht="11.25" customHeight="1">
      <c r="A142" s="378" t="s">
        <v>562</v>
      </c>
      <c r="B142" s="382" t="s">
        <v>202</v>
      </c>
      <c r="C142" s="379" t="s">
        <v>407</v>
      </c>
      <c r="D142" s="379" t="s">
        <v>407</v>
      </c>
      <c r="E142" s="379" t="s">
        <v>407</v>
      </c>
      <c r="F142" s="383" t="s">
        <v>407</v>
      </c>
      <c r="G142" s="1030" t="s">
        <v>623</v>
      </c>
      <c r="H142" s="1030" t="s">
        <v>624</v>
      </c>
    </row>
    <row r="143" spans="1:8" ht="11.25" customHeight="1">
      <c r="A143" s="298"/>
      <c r="B143" s="298"/>
      <c r="C143" s="325" t="s">
        <v>620</v>
      </c>
      <c r="D143" s="384" t="s">
        <v>621</v>
      </c>
      <c r="E143" s="325" t="s">
        <v>620</v>
      </c>
      <c r="F143" s="384" t="s">
        <v>621</v>
      </c>
      <c r="G143" s="1030"/>
      <c r="H143" s="1030"/>
    </row>
    <row r="144" spans="1:8" ht="11.25" customHeight="1">
      <c r="A144" s="345" t="s">
        <v>625</v>
      </c>
      <c r="B144" s="385">
        <f>B50+B64+B65+B68</f>
        <v>36301509.67</v>
      </c>
      <c r="C144" s="386">
        <v>0</v>
      </c>
      <c r="D144" s="386">
        <v>0</v>
      </c>
      <c r="E144" s="386">
        <v>0</v>
      </c>
      <c r="F144" s="386">
        <v>0</v>
      </c>
      <c r="G144" s="386">
        <v>0</v>
      </c>
      <c r="H144" s="385">
        <v>0</v>
      </c>
    </row>
    <row r="145" spans="1:8" ht="11.25" customHeight="1">
      <c r="A145" s="373"/>
      <c r="B145" s="373"/>
      <c r="C145" s="293"/>
      <c r="D145" s="373"/>
      <c r="E145" s="373"/>
      <c r="F145" s="373"/>
      <c r="G145" s="373"/>
      <c r="H145" s="373"/>
    </row>
    <row r="146" spans="1:8" ht="11.25" customHeight="1">
      <c r="A146" s="345" t="s">
        <v>626</v>
      </c>
      <c r="B146" s="387">
        <f>B139-B144</f>
        <v>-2806509.670000002</v>
      </c>
      <c r="C146" s="388">
        <v>0</v>
      </c>
      <c r="D146" s="388">
        <v>0</v>
      </c>
      <c r="E146" s="388">
        <v>0</v>
      </c>
      <c r="F146" s="388">
        <v>0</v>
      </c>
      <c r="G146" s="389">
        <v>0</v>
      </c>
      <c r="H146" s="390">
        <v>0</v>
      </c>
    </row>
    <row r="147" spans="1:8" ht="11.25" customHeight="1">
      <c r="A147" s="391"/>
      <c r="B147" s="348"/>
      <c r="C147" s="349"/>
      <c r="D147" s="349"/>
      <c r="E147" s="373"/>
      <c r="F147" s="293"/>
      <c r="G147" s="373"/>
      <c r="H147" s="293"/>
    </row>
    <row r="148" spans="1:8" ht="11.25" customHeight="1">
      <c r="A148" s="1031" t="s">
        <v>627</v>
      </c>
      <c r="B148" s="1031"/>
      <c r="C148" s="1031"/>
      <c r="D148" s="1031"/>
      <c r="E148" s="1032" t="s">
        <v>529</v>
      </c>
      <c r="F148" s="1032"/>
      <c r="G148" s="1032"/>
      <c r="H148" s="1032"/>
    </row>
    <row r="149" spans="1:8" ht="11.25" customHeight="1">
      <c r="A149" s="1031"/>
      <c r="B149" s="1031"/>
      <c r="C149" s="1031"/>
      <c r="D149" s="1031"/>
      <c r="E149" s="1032"/>
      <c r="F149" s="1032"/>
      <c r="G149" s="1032"/>
      <c r="H149" s="1032"/>
    </row>
    <row r="150" spans="1:8" ht="11.25" customHeight="1">
      <c r="A150" s="1033" t="s">
        <v>628</v>
      </c>
      <c r="B150" s="1033"/>
      <c r="C150" s="1033"/>
      <c r="D150" s="1033"/>
      <c r="E150" s="1034">
        <v>0</v>
      </c>
      <c r="F150" s="1034"/>
      <c r="G150" s="1034"/>
      <c r="H150" s="1034"/>
    </row>
    <row r="151" spans="1:8" ht="11.25" customHeight="1">
      <c r="A151" s="392"/>
      <c r="B151" s="392"/>
      <c r="C151" s="392"/>
      <c r="D151" s="392"/>
      <c r="E151" s="392"/>
      <c r="F151" s="392"/>
      <c r="G151" s="392"/>
      <c r="H151" s="373"/>
    </row>
    <row r="152" spans="1:8" ht="11.25" customHeight="1">
      <c r="A152" s="1024" t="s">
        <v>629</v>
      </c>
      <c r="B152" s="1024"/>
      <c r="C152" s="1024"/>
      <c r="D152" s="1024"/>
      <c r="E152" s="1024"/>
      <c r="F152" s="1024"/>
      <c r="G152" s="1024"/>
      <c r="H152" s="1024"/>
    </row>
    <row r="153" spans="1:8" ht="11.25" customHeight="1">
      <c r="A153" s="1024"/>
      <c r="B153" s="1024"/>
      <c r="C153" s="1024"/>
      <c r="D153" s="1024"/>
      <c r="E153" s="1024"/>
      <c r="F153" s="1024"/>
      <c r="G153" s="1024"/>
      <c r="H153" s="1024"/>
    </row>
    <row r="154" spans="1:8" ht="11.25" customHeight="1">
      <c r="A154" s="393" t="s">
        <v>596</v>
      </c>
      <c r="B154" s="1025" t="s">
        <v>462</v>
      </c>
      <c r="C154" s="1025"/>
      <c r="D154" s="1025"/>
      <c r="E154" s="1025"/>
      <c r="F154" s="1025"/>
      <c r="G154" s="1025"/>
      <c r="H154" s="1025"/>
    </row>
    <row r="155" spans="1:8" ht="11.25" customHeight="1">
      <c r="A155" s="378" t="s">
        <v>525</v>
      </c>
      <c r="B155" s="394"/>
      <c r="C155" s="395" t="s">
        <v>37</v>
      </c>
      <c r="D155" s="396"/>
      <c r="E155" s="1026" t="s">
        <v>39</v>
      </c>
      <c r="F155" s="1026"/>
      <c r="G155" s="1026"/>
      <c r="H155" s="1026"/>
    </row>
    <row r="156" spans="1:8" ht="11.25" customHeight="1">
      <c r="A156" s="298"/>
      <c r="B156" s="384"/>
      <c r="C156" s="397" t="s">
        <v>526</v>
      </c>
      <c r="D156" s="398"/>
      <c r="E156" s="1027" t="s">
        <v>527</v>
      </c>
      <c r="F156" s="1027"/>
      <c r="G156" s="1027"/>
      <c r="H156" s="1027"/>
    </row>
    <row r="157" spans="1:8" ht="11.25" customHeight="1">
      <c r="A157" s="399" t="s">
        <v>453</v>
      </c>
      <c r="B157" s="1028">
        <v>0</v>
      </c>
      <c r="C157" s="1028"/>
      <c r="D157" s="1028"/>
      <c r="E157" s="1029">
        <v>0</v>
      </c>
      <c r="F157" s="1029"/>
      <c r="G157" s="1029"/>
      <c r="H157" s="1029"/>
    </row>
    <row r="158" spans="1:8" ht="11.25" customHeight="1">
      <c r="A158" s="400"/>
      <c r="B158" s="400"/>
      <c r="C158" s="400"/>
      <c r="D158" s="292"/>
      <c r="E158" s="292"/>
      <c r="F158" s="400"/>
      <c r="G158" s="400"/>
      <c r="H158" s="373"/>
    </row>
    <row r="159" spans="1:8" ht="11.25" customHeight="1">
      <c r="A159" s="1019" t="s">
        <v>630</v>
      </c>
      <c r="B159" s="1019"/>
      <c r="C159" s="1019"/>
      <c r="D159" s="1019"/>
      <c r="E159" s="1020" t="s">
        <v>529</v>
      </c>
      <c r="F159" s="1020"/>
      <c r="G159" s="1020"/>
      <c r="H159" s="1020"/>
    </row>
    <row r="160" spans="1:8" ht="11.25" customHeight="1">
      <c r="A160" s="1019"/>
      <c r="B160" s="1019"/>
      <c r="C160" s="1019"/>
      <c r="D160" s="1019"/>
      <c r="E160" s="1021"/>
      <c r="F160" s="1021"/>
      <c r="G160" s="1021"/>
      <c r="H160" s="1021"/>
    </row>
    <row r="161" spans="1:8" ht="11.25" customHeight="1">
      <c r="A161" s="399" t="s">
        <v>530</v>
      </c>
      <c r="B161" s="401"/>
      <c r="C161" s="401"/>
      <c r="D161" s="401"/>
      <c r="E161" s="1022">
        <v>0</v>
      </c>
      <c r="F161" s="1022"/>
      <c r="G161" s="1022"/>
      <c r="H161" s="1022"/>
    </row>
    <row r="162" spans="1:8" ht="11.25" customHeight="1">
      <c r="A162" s="1023" t="s">
        <v>531</v>
      </c>
      <c r="B162" s="1023"/>
      <c r="C162" s="1023"/>
      <c r="D162" s="1023"/>
      <c r="E162" s="1023"/>
      <c r="F162" s="1023"/>
      <c r="G162" s="1023"/>
      <c r="H162" s="373"/>
    </row>
    <row r="163" spans="1:8" ht="11.25" customHeight="1">
      <c r="A163" s="402" t="s">
        <v>631</v>
      </c>
      <c r="B163" s="373"/>
      <c r="C163" s="293"/>
      <c r="D163" s="373"/>
      <c r="E163" s="373"/>
      <c r="F163" s="373"/>
      <c r="G163" s="373"/>
      <c r="H163" s="373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7:H117"/>
    <mergeCell ref="B118:H118"/>
    <mergeCell ref="B120:H120"/>
    <mergeCell ref="A122:A123"/>
    <mergeCell ref="B122:H123"/>
    <mergeCell ref="B124:H124"/>
    <mergeCell ref="B125:H125"/>
    <mergeCell ref="B126:H126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39:C139"/>
    <mergeCell ref="D139:E139"/>
    <mergeCell ref="F139:H139"/>
    <mergeCell ref="C141:D141"/>
    <mergeCell ref="E141:F141"/>
    <mergeCell ref="G141:H141"/>
    <mergeCell ref="E157:H157"/>
    <mergeCell ref="G142:G143"/>
    <mergeCell ref="H142:H143"/>
    <mergeCell ref="A148:D149"/>
    <mergeCell ref="E148:H149"/>
    <mergeCell ref="A150:D150"/>
    <mergeCell ref="E150:H150"/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selection activeCell="G25" sqref="G25"/>
    </sheetView>
  </sheetViews>
  <sheetFormatPr defaultColWidth="2.8515625" defaultRowHeight="11.25" customHeight="1"/>
  <cols>
    <col min="1" max="1" width="50.57421875" style="22" customWidth="1"/>
    <col min="2" max="12" width="17.57421875" style="22" customWidth="1"/>
    <col min="13" max="13" width="17.57421875" style="154" customWidth="1"/>
    <col min="14" max="16384" width="2.8515625" style="154" customWidth="1"/>
  </cols>
  <sheetData>
    <row r="1" spans="1:12" s="404" customFormat="1" ht="15.75" customHeight="1">
      <c r="A1" s="151" t="s">
        <v>632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3" spans="1:12" ht="12.75" customHeight="1">
      <c r="A3" s="948" t="str">
        <f>+'Informações Iniciais'!A1:B1</f>
        <v>MUNICÍPIO DE RIBAMAR FIQUENE - PODER EXECUTIVO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</row>
    <row r="4" spans="1:12" ht="12.75" customHeight="1">
      <c r="A4" s="948" t="s">
        <v>0</v>
      </c>
      <c r="B4" s="948"/>
      <c r="C4" s="948"/>
      <c r="D4" s="948"/>
      <c r="E4" s="948"/>
      <c r="F4" s="948"/>
      <c r="G4" s="948"/>
      <c r="H4" s="948"/>
      <c r="I4" s="948"/>
      <c r="J4" s="948"/>
      <c r="K4" s="948"/>
      <c r="L4" s="948"/>
    </row>
    <row r="5" spans="1:12" ht="12.75" customHeight="1">
      <c r="A5" s="947" t="s">
        <v>633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</row>
    <row r="6" spans="1:12" ht="12.75" customHeight="1">
      <c r="A6" s="948" t="s">
        <v>29</v>
      </c>
      <c r="B6" s="948"/>
      <c r="C6" s="948"/>
      <c r="D6" s="948"/>
      <c r="E6" s="948"/>
      <c r="F6" s="948"/>
      <c r="G6" s="948"/>
      <c r="H6" s="948"/>
      <c r="I6" s="948"/>
      <c r="J6" s="948"/>
      <c r="K6" s="948"/>
      <c r="L6" s="948"/>
    </row>
    <row r="7" spans="1:12" ht="12.75" customHeight="1">
      <c r="A7" s="948" t="str">
        <f>+'Informações Iniciais'!A5:B5</f>
        <v>3º Bimestre de 2020</v>
      </c>
      <c r="B7" s="948"/>
      <c r="C7" s="948"/>
      <c r="D7" s="948"/>
      <c r="E7" s="948"/>
      <c r="F7" s="948"/>
      <c r="G7" s="948"/>
      <c r="H7" s="948"/>
      <c r="I7" s="948"/>
      <c r="J7" s="948"/>
      <c r="K7" s="948"/>
      <c r="L7" s="948"/>
    </row>
    <row r="8" spans="1:12" ht="12.75" customHeight="1">
      <c r="A8" s="152"/>
      <c r="B8" s="152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3" ht="12.75" customHeight="1">
      <c r="A9" s="405" t="s">
        <v>634</v>
      </c>
      <c r="B9" s="30"/>
      <c r="C9" s="154"/>
      <c r="D9" s="154"/>
      <c r="E9" s="154"/>
      <c r="F9" s="154"/>
      <c r="G9" s="154"/>
      <c r="H9" s="154"/>
      <c r="I9" s="154"/>
      <c r="J9" s="154"/>
      <c r="K9" s="154"/>
      <c r="L9" s="156"/>
      <c r="M9" s="156">
        <v>1</v>
      </c>
    </row>
    <row r="10" spans="1:13" ht="42.75" customHeight="1">
      <c r="A10" s="959" t="s">
        <v>635</v>
      </c>
      <c r="B10" s="971" t="s">
        <v>636</v>
      </c>
      <c r="C10" s="971"/>
      <c r="D10" s="971"/>
      <c r="E10" s="971"/>
      <c r="F10" s="971"/>
      <c r="G10" s="955" t="s">
        <v>637</v>
      </c>
      <c r="H10" s="955"/>
      <c r="I10" s="955"/>
      <c r="J10" s="955"/>
      <c r="K10" s="955"/>
      <c r="L10" s="955"/>
      <c r="M10" s="971" t="s">
        <v>638</v>
      </c>
    </row>
    <row r="11" spans="1:13" ht="12.75" customHeight="1">
      <c r="A11" s="959"/>
      <c r="B11" s="951" t="s">
        <v>639</v>
      </c>
      <c r="C11" s="951"/>
      <c r="D11" s="1075" t="s">
        <v>640</v>
      </c>
      <c r="E11" s="955" t="s">
        <v>641</v>
      </c>
      <c r="F11" s="1076" t="s">
        <v>642</v>
      </c>
      <c r="G11" s="951" t="s">
        <v>639</v>
      </c>
      <c r="H11" s="951"/>
      <c r="I11" s="955" t="s">
        <v>643</v>
      </c>
      <c r="J11" s="955" t="s">
        <v>640</v>
      </c>
      <c r="K11" s="955" t="s">
        <v>641</v>
      </c>
      <c r="L11" s="1076" t="s">
        <v>642</v>
      </c>
      <c r="M11" s="971"/>
    </row>
    <row r="12" spans="1:13" ht="12.75" customHeight="1">
      <c r="A12" s="959"/>
      <c r="B12" s="971" t="s">
        <v>644</v>
      </c>
      <c r="C12" s="971" t="s">
        <v>645</v>
      </c>
      <c r="D12" s="1075"/>
      <c r="E12" s="955"/>
      <c r="F12" s="1076"/>
      <c r="G12" s="971" t="s">
        <v>646</v>
      </c>
      <c r="H12" s="971" t="s">
        <v>647</v>
      </c>
      <c r="I12" s="955"/>
      <c r="J12" s="955"/>
      <c r="K12" s="955"/>
      <c r="L12" s="1076"/>
      <c r="M12" s="971"/>
    </row>
    <row r="13" spans="1:13" ht="12.75" customHeight="1">
      <c r="A13" s="959"/>
      <c r="B13" s="971"/>
      <c r="C13" s="971"/>
      <c r="D13" s="1075"/>
      <c r="E13" s="955"/>
      <c r="F13" s="1076"/>
      <c r="G13" s="971"/>
      <c r="H13" s="971"/>
      <c r="I13" s="955"/>
      <c r="J13" s="955"/>
      <c r="K13" s="955"/>
      <c r="L13" s="1076"/>
      <c r="M13" s="971"/>
    </row>
    <row r="14" spans="1:13" ht="12.75" customHeight="1">
      <c r="A14" s="959"/>
      <c r="B14" s="971"/>
      <c r="C14" s="971"/>
      <c r="D14" s="1075"/>
      <c r="E14" s="955"/>
      <c r="F14" s="1076"/>
      <c r="G14" s="971"/>
      <c r="H14" s="971"/>
      <c r="I14" s="955"/>
      <c r="J14" s="955"/>
      <c r="K14" s="955"/>
      <c r="L14" s="1076"/>
      <c r="M14" s="971"/>
    </row>
    <row r="15" spans="1:13" s="408" customFormat="1" ht="15" customHeight="1">
      <c r="A15" s="959"/>
      <c r="B15" s="195" t="s">
        <v>40</v>
      </c>
      <c r="C15" s="195" t="s">
        <v>41</v>
      </c>
      <c r="D15" s="158" t="s">
        <v>43</v>
      </c>
      <c r="E15" s="158" t="s">
        <v>124</v>
      </c>
      <c r="F15" s="406" t="s">
        <v>648</v>
      </c>
      <c r="G15" s="195" t="s">
        <v>126</v>
      </c>
      <c r="H15" s="195" t="s">
        <v>649</v>
      </c>
      <c r="I15" s="158" t="s">
        <v>128</v>
      </c>
      <c r="J15" s="158" t="s">
        <v>650</v>
      </c>
      <c r="K15" s="158" t="s">
        <v>130</v>
      </c>
      <c r="L15" s="407" t="s">
        <v>651</v>
      </c>
      <c r="M15" s="195" t="s">
        <v>652</v>
      </c>
    </row>
    <row r="16" spans="1:13" ht="12.75" customHeight="1">
      <c r="A16" s="152" t="s">
        <v>653</v>
      </c>
      <c r="B16" s="52">
        <f aca="true" t="shared" si="0" ref="B16:M16">B17+B18</f>
        <v>1626096.64</v>
      </c>
      <c r="C16" s="52">
        <f t="shared" si="0"/>
        <v>13229.28</v>
      </c>
      <c r="D16" s="52">
        <f t="shared" si="0"/>
        <v>159090.13</v>
      </c>
      <c r="E16" s="52">
        <f t="shared" si="0"/>
        <v>0</v>
      </c>
      <c r="F16" s="52">
        <f t="shared" si="0"/>
        <v>1480235.79</v>
      </c>
      <c r="G16" s="52">
        <f t="shared" si="0"/>
        <v>2629105.29</v>
      </c>
      <c r="H16" s="52">
        <f t="shared" si="0"/>
        <v>1883853.38</v>
      </c>
      <c r="I16" s="52">
        <f t="shared" si="0"/>
        <v>481129.37</v>
      </c>
      <c r="J16" s="52">
        <f t="shared" si="0"/>
        <v>481129.37</v>
      </c>
      <c r="K16" s="52">
        <f t="shared" si="0"/>
        <v>0</v>
      </c>
      <c r="L16" s="52">
        <f t="shared" si="0"/>
        <v>4031829.3</v>
      </c>
      <c r="M16" s="52">
        <f t="shared" si="0"/>
        <v>5512065.09</v>
      </c>
    </row>
    <row r="17" spans="1:13" ht="12.75" customHeight="1">
      <c r="A17" s="152" t="s">
        <v>654</v>
      </c>
      <c r="B17" s="98">
        <v>1626096.64</v>
      </c>
      <c r="C17" s="98">
        <v>13229.28</v>
      </c>
      <c r="D17" s="98">
        <v>159090.13</v>
      </c>
      <c r="E17" s="98">
        <v>0</v>
      </c>
      <c r="F17" s="110">
        <v>1480235.79</v>
      </c>
      <c r="G17" s="98">
        <v>2629105.29</v>
      </c>
      <c r="H17" s="98">
        <v>1883853.38</v>
      </c>
      <c r="I17" s="98">
        <v>481129.37</v>
      </c>
      <c r="J17" s="98">
        <v>481129.37</v>
      </c>
      <c r="K17" s="99">
        <v>0</v>
      </c>
      <c r="L17" s="104">
        <f>(G17+H17)-(J17+K17)</f>
        <v>4031829.3</v>
      </c>
      <c r="M17" s="52">
        <f>F17+L17</f>
        <v>5512065.09</v>
      </c>
    </row>
    <row r="18" spans="1:13" ht="12.75" customHeight="1">
      <c r="A18" s="152" t="s">
        <v>655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09">
        <v>0</v>
      </c>
      <c r="L18" s="104">
        <f>(G18+H18)-(J18+K18)</f>
        <v>0</v>
      </c>
      <c r="M18" s="52">
        <f>F18+L18</f>
        <v>0</v>
      </c>
    </row>
    <row r="19" spans="1:13" ht="12.75" customHeight="1">
      <c r="A19" s="152"/>
      <c r="B19" s="52"/>
      <c r="C19" s="52"/>
      <c r="D19" s="52"/>
      <c r="E19" s="52"/>
      <c r="F19" s="52"/>
      <c r="G19" s="52"/>
      <c r="H19" s="52"/>
      <c r="I19" s="52"/>
      <c r="J19" s="52"/>
      <c r="K19" s="169"/>
      <c r="L19" s="169"/>
      <c r="M19" s="52">
        <f>F19+L19</f>
        <v>0</v>
      </c>
    </row>
    <row r="20" spans="1:13" ht="12.75" customHeight="1">
      <c r="A20" s="152" t="s">
        <v>656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09">
        <v>0</v>
      </c>
      <c r="L20" s="104">
        <f>(G20+H20)-(J20+K20)</f>
        <v>0</v>
      </c>
      <c r="M20" s="52">
        <f>F20+L20</f>
        <v>0</v>
      </c>
    </row>
    <row r="21" spans="1:13" ht="12.75" customHeight="1">
      <c r="A21" s="192" t="s">
        <v>347</v>
      </c>
      <c r="B21" s="409">
        <f aca="true" t="shared" si="1" ref="B21:M21">B16+B20</f>
        <v>1626096.64</v>
      </c>
      <c r="C21" s="409">
        <f t="shared" si="1"/>
        <v>13229.28</v>
      </c>
      <c r="D21" s="409">
        <f t="shared" si="1"/>
        <v>159090.13</v>
      </c>
      <c r="E21" s="409">
        <f t="shared" si="1"/>
        <v>0</v>
      </c>
      <c r="F21" s="409">
        <f t="shared" si="1"/>
        <v>1480235.79</v>
      </c>
      <c r="G21" s="409">
        <f t="shared" si="1"/>
        <v>2629105.29</v>
      </c>
      <c r="H21" s="409">
        <f t="shared" si="1"/>
        <v>1883853.38</v>
      </c>
      <c r="I21" s="409">
        <f t="shared" si="1"/>
        <v>481129.37</v>
      </c>
      <c r="J21" s="409">
        <f t="shared" si="1"/>
        <v>481129.37</v>
      </c>
      <c r="K21" s="409">
        <f t="shared" si="1"/>
        <v>0</v>
      </c>
      <c r="L21" s="409">
        <f t="shared" si="1"/>
        <v>4031829.3</v>
      </c>
      <c r="M21" s="410">
        <f t="shared" si="1"/>
        <v>5512065.09</v>
      </c>
    </row>
    <row r="22" spans="1:13" ht="12.75" customHeight="1">
      <c r="A22" s="1074" t="s">
        <v>1151</v>
      </c>
      <c r="B22" s="1074"/>
      <c r="C22" s="1074"/>
      <c r="D22" s="1074"/>
      <c r="E22" s="1074"/>
      <c r="F22" s="1074"/>
      <c r="G22" s="1074"/>
      <c r="H22" s="1074"/>
      <c r="I22" s="1074"/>
      <c r="J22" s="1074"/>
      <c r="K22" s="1074"/>
      <c r="L22" s="1074"/>
      <c r="M22" s="1074"/>
    </row>
  </sheetData>
  <sheetProtection password="F3F6" sheet="1"/>
  <mergeCells count="23">
    <mergeCell ref="G10:L10"/>
    <mergeCell ref="B12:B14"/>
    <mergeCell ref="C12:C14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A22:M22"/>
    <mergeCell ref="M10:M14"/>
    <mergeCell ref="B11:C11"/>
    <mergeCell ref="D11:D14"/>
    <mergeCell ref="E11:E14"/>
    <mergeCell ref="F11:F14"/>
    <mergeCell ref="G11:H11"/>
    <mergeCell ref="I11:I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1">
      <selection activeCell="A18" sqref="A18"/>
    </sheetView>
  </sheetViews>
  <sheetFormatPr defaultColWidth="18.7109375" defaultRowHeight="11.25" customHeight="1"/>
  <cols>
    <col min="1" max="1" width="83.140625" style="411" customWidth="1"/>
    <col min="2" max="6" width="13.28125" style="411" customWidth="1"/>
    <col min="7" max="7" width="14.28125" style="411" customWidth="1"/>
    <col min="8" max="8" width="21.8515625" style="411" customWidth="1"/>
    <col min="9" max="9" width="20.7109375" style="411" customWidth="1"/>
    <col min="10" max="10" width="13.57421875" style="411" customWidth="1"/>
    <col min="11" max="11" width="13.7109375" style="411" customWidth="1"/>
    <col min="12" max="255" width="8.7109375" style="411" customWidth="1"/>
    <col min="256" max="16384" width="18.7109375" style="412" customWidth="1"/>
  </cols>
  <sheetData>
    <row r="1" spans="1:256" s="413" customFormat="1" ht="15.75" customHeight="1">
      <c r="A1" s="1154" t="s">
        <v>657</v>
      </c>
      <c r="B1" s="1154"/>
      <c r="C1" s="1154"/>
      <c r="D1" s="1154"/>
      <c r="E1" s="1154"/>
      <c r="F1" s="1154"/>
      <c r="IV1" s="414"/>
    </row>
    <row r="2" spans="1:256" s="416" customFormat="1" ht="12.75" customHeight="1">
      <c r="A2" s="415"/>
      <c r="B2" s="415"/>
      <c r="C2" s="415"/>
      <c r="D2" s="415"/>
      <c r="E2" s="415"/>
      <c r="F2" s="415"/>
      <c r="IV2" s="417"/>
    </row>
    <row r="3" spans="1:256" s="416" customFormat="1" ht="12.75" customHeight="1">
      <c r="A3" s="1155" t="str">
        <f>+'Informações Iniciais'!A1:B1</f>
        <v>MUNICÍPIO DE RIBAMAR FIQUENE - PODER EXECUTIVO</v>
      </c>
      <c r="B3" s="1155"/>
      <c r="C3" s="1155"/>
      <c r="D3" s="1155"/>
      <c r="E3" s="1155"/>
      <c r="F3" s="1155"/>
      <c r="IA3" s="417"/>
      <c r="IB3" s="417"/>
      <c r="IC3" s="417"/>
      <c r="ID3" s="417"/>
      <c r="IE3" s="417"/>
      <c r="IF3" s="417"/>
      <c r="IG3" s="417"/>
      <c r="IH3" s="417"/>
      <c r="II3" s="417"/>
      <c r="IJ3" s="417"/>
      <c r="IK3" s="417"/>
      <c r="IL3" s="417"/>
      <c r="IM3" s="417"/>
      <c r="IN3" s="417"/>
      <c r="IO3" s="417"/>
      <c r="IP3" s="417"/>
      <c r="IQ3" s="417"/>
      <c r="IR3" s="417"/>
      <c r="IS3" s="417"/>
      <c r="IT3" s="417"/>
      <c r="IU3" s="417"/>
      <c r="IV3" s="417"/>
    </row>
    <row r="4" spans="1:256" s="416" customFormat="1" ht="12.75" customHeight="1">
      <c r="A4" s="1156" t="s">
        <v>0</v>
      </c>
      <c r="B4" s="1156"/>
      <c r="C4" s="1156"/>
      <c r="D4" s="1156"/>
      <c r="E4" s="1156"/>
      <c r="F4" s="1156"/>
      <c r="IA4" s="417"/>
      <c r="IB4" s="417"/>
      <c r="IC4" s="417"/>
      <c r="ID4" s="417"/>
      <c r="IE4" s="417"/>
      <c r="IF4" s="417"/>
      <c r="IG4" s="417"/>
      <c r="IH4" s="417"/>
      <c r="II4" s="417"/>
      <c r="IJ4" s="417"/>
      <c r="IK4" s="417"/>
      <c r="IL4" s="417"/>
      <c r="IM4" s="417"/>
      <c r="IN4" s="417"/>
      <c r="IO4" s="417"/>
      <c r="IP4" s="417"/>
      <c r="IQ4" s="417"/>
      <c r="IR4" s="417"/>
      <c r="IS4" s="417"/>
      <c r="IT4" s="417"/>
      <c r="IU4" s="417"/>
      <c r="IV4" s="417"/>
    </row>
    <row r="5" spans="1:256" s="416" customFormat="1" ht="12.75" customHeight="1">
      <c r="A5" s="1152" t="s">
        <v>658</v>
      </c>
      <c r="B5" s="1152"/>
      <c r="C5" s="1152"/>
      <c r="D5" s="1152"/>
      <c r="E5" s="1152"/>
      <c r="F5" s="1152"/>
      <c r="IA5" s="417"/>
      <c r="IB5" s="417"/>
      <c r="IC5" s="417"/>
      <c r="ID5" s="417"/>
      <c r="IE5" s="417"/>
      <c r="IF5" s="417"/>
      <c r="IG5" s="417"/>
      <c r="IH5" s="417"/>
      <c r="II5" s="417"/>
      <c r="IJ5" s="417"/>
      <c r="IK5" s="417"/>
      <c r="IL5" s="417"/>
      <c r="IM5" s="417"/>
      <c r="IN5" s="417"/>
      <c r="IO5" s="417"/>
      <c r="IP5" s="417"/>
      <c r="IQ5" s="417"/>
      <c r="IR5" s="417"/>
      <c r="IS5" s="417"/>
      <c r="IT5" s="417"/>
      <c r="IU5" s="417"/>
      <c r="IV5" s="417"/>
    </row>
    <row r="6" spans="1:256" s="416" customFormat="1" ht="12.75" customHeight="1">
      <c r="A6" s="1156" t="s">
        <v>29</v>
      </c>
      <c r="B6" s="1156"/>
      <c r="C6" s="1156"/>
      <c r="D6" s="1156"/>
      <c r="E6" s="1156"/>
      <c r="F6" s="1156"/>
      <c r="IA6" s="417"/>
      <c r="IB6" s="417"/>
      <c r="IC6" s="417"/>
      <c r="ID6" s="417"/>
      <c r="IE6" s="417"/>
      <c r="IF6" s="417"/>
      <c r="IG6" s="417"/>
      <c r="IH6" s="417"/>
      <c r="II6" s="1157" t="s">
        <v>1</v>
      </c>
      <c r="IJ6" s="1157"/>
      <c r="IK6" s="1157"/>
      <c r="IL6" s="1157"/>
      <c r="IM6" s="1157"/>
      <c r="IN6" s="1157"/>
      <c r="IO6" s="418">
        <f>IF($A$7=IP6,1,0)</f>
        <v>0</v>
      </c>
      <c r="IP6" s="897" t="s">
        <v>659</v>
      </c>
      <c r="IQ6" s="897"/>
      <c r="IR6" s="897"/>
      <c r="IS6" s="897"/>
      <c r="IT6" s="897"/>
      <c r="IU6" s="897"/>
      <c r="IV6" s="897"/>
    </row>
    <row r="7" spans="1:256" s="416" customFormat="1" ht="12.75" customHeight="1">
      <c r="A7" s="1152" t="str">
        <f>+'Informações Iniciais'!A5:B5</f>
        <v>3º Bimestre de 2020</v>
      </c>
      <c r="B7" s="1152"/>
      <c r="C7" s="1152"/>
      <c r="D7" s="1152"/>
      <c r="E7" s="1152"/>
      <c r="F7" s="1152"/>
      <c r="G7" s="1152"/>
      <c r="H7" s="1152"/>
      <c r="IA7" s="417"/>
      <c r="IB7" s="417"/>
      <c r="IC7" s="417"/>
      <c r="ID7" s="417"/>
      <c r="IE7" s="417"/>
      <c r="IF7" s="417"/>
      <c r="IG7" s="417"/>
      <c r="IH7" s="417"/>
      <c r="II7" s="1157"/>
      <c r="IJ7" s="1157"/>
      <c r="IK7" s="1157"/>
      <c r="IL7" s="1157"/>
      <c r="IM7" s="1157"/>
      <c r="IN7" s="1157"/>
      <c r="IO7" s="418"/>
      <c r="IP7" s="418"/>
      <c r="IQ7" s="418"/>
      <c r="IR7" s="418"/>
      <c r="IS7" s="418"/>
      <c r="IT7" s="418">
        <f aca="true" t="shared" si="0" ref="IT7:IT12">IF($A$7=IV7,1,0)</f>
        <v>0</v>
      </c>
      <c r="IU7" s="418"/>
      <c r="IV7" s="419" t="s">
        <v>660</v>
      </c>
    </row>
    <row r="8" spans="1:256" s="416" customFormat="1" ht="21.75" customHeight="1">
      <c r="A8" s="1153">
        <f>IF($D$119&lt;&gt;($F$119+$H$119),"HÁ ERRO NO QUADRO DESPESAS COM MDE - VERIFIQUE!!!","")</f>
      </c>
      <c r="B8" s="1153"/>
      <c r="C8" s="1153"/>
      <c r="D8" s="1153"/>
      <c r="E8" s="1153"/>
      <c r="F8" s="1153"/>
      <c r="G8" s="1153"/>
      <c r="H8" s="1153"/>
      <c r="IA8" s="417"/>
      <c r="IB8" s="417"/>
      <c r="IC8" s="417"/>
      <c r="ID8" s="417"/>
      <c r="IE8" s="417"/>
      <c r="IF8" s="417"/>
      <c r="IG8" s="417"/>
      <c r="IH8" s="417"/>
      <c r="II8" s="1157"/>
      <c r="IJ8" s="1157"/>
      <c r="IK8" s="1157"/>
      <c r="IL8" s="1157"/>
      <c r="IM8" s="1157"/>
      <c r="IN8" s="1157"/>
      <c r="IO8" s="418"/>
      <c r="IP8" s="418"/>
      <c r="IQ8" s="418"/>
      <c r="IR8" s="418"/>
      <c r="IS8" s="418"/>
      <c r="IT8" s="418">
        <f t="shared" si="0"/>
        <v>0</v>
      </c>
      <c r="IU8" s="418"/>
      <c r="IV8" s="419" t="s">
        <v>661</v>
      </c>
    </row>
    <row r="9" spans="1:256" s="416" customFormat="1" ht="12.75" customHeight="1">
      <c r="A9" s="416" t="s">
        <v>662</v>
      </c>
      <c r="B9" s="420"/>
      <c r="C9" s="420"/>
      <c r="D9" s="420"/>
      <c r="E9" s="420"/>
      <c r="F9" s="421"/>
      <c r="H9" s="421">
        <v>1</v>
      </c>
      <c r="IA9" s="417"/>
      <c r="IB9" s="417"/>
      <c r="IC9" s="417"/>
      <c r="ID9" s="417"/>
      <c r="IE9" s="417"/>
      <c r="IF9" s="417"/>
      <c r="IG9" s="417"/>
      <c r="IH9" s="417"/>
      <c r="II9" s="1157"/>
      <c r="IJ9" s="1157"/>
      <c r="IK9" s="1157"/>
      <c r="IL9" s="1157"/>
      <c r="IM9" s="1157"/>
      <c r="IN9" s="1157"/>
      <c r="IO9" s="418"/>
      <c r="IP9" s="418"/>
      <c r="IQ9" s="418"/>
      <c r="IR9" s="418"/>
      <c r="IS9" s="418"/>
      <c r="IT9" s="418">
        <f t="shared" si="0"/>
        <v>0</v>
      </c>
      <c r="IU9" s="418"/>
      <c r="IV9" s="419" t="s">
        <v>2</v>
      </c>
    </row>
    <row r="10" spans="1:256" s="416" customFormat="1" ht="12.75" customHeight="1">
      <c r="A10" s="1145" t="s">
        <v>663</v>
      </c>
      <c r="B10" s="1145"/>
      <c r="C10" s="1145"/>
      <c r="D10" s="1145"/>
      <c r="E10" s="1145"/>
      <c r="F10" s="1145"/>
      <c r="G10" s="1145"/>
      <c r="H10" s="1145"/>
      <c r="IA10" s="417"/>
      <c r="IB10" s="417"/>
      <c r="IC10" s="417"/>
      <c r="ID10" s="417"/>
      <c r="IE10" s="417"/>
      <c r="IF10" s="417"/>
      <c r="IG10" s="417"/>
      <c r="IH10" s="417"/>
      <c r="II10" s="1157"/>
      <c r="IJ10" s="1157"/>
      <c r="IK10" s="1157"/>
      <c r="IL10" s="1157"/>
      <c r="IM10" s="1157"/>
      <c r="IN10" s="1157"/>
      <c r="IO10" s="418"/>
      <c r="IP10" s="418"/>
      <c r="IQ10" s="418"/>
      <c r="IR10" s="418"/>
      <c r="IS10" s="418"/>
      <c r="IT10" s="418">
        <f t="shared" si="0"/>
        <v>0</v>
      </c>
      <c r="IU10" s="418"/>
      <c r="IV10" s="419" t="s">
        <v>664</v>
      </c>
    </row>
    <row r="11" spans="1:256" s="416" customFormat="1" ht="12.75" customHeight="1">
      <c r="A11" s="422"/>
      <c r="B11" s="1095" t="s">
        <v>33</v>
      </c>
      <c r="C11" s="1095"/>
      <c r="D11" s="1150" t="s">
        <v>34</v>
      </c>
      <c r="E11" s="1150"/>
      <c r="F11" s="1147" t="s">
        <v>35</v>
      </c>
      <c r="G11" s="1147"/>
      <c r="H11" s="1147"/>
      <c r="IA11" s="417"/>
      <c r="IB11" s="417"/>
      <c r="IC11" s="417"/>
      <c r="ID11" s="417"/>
      <c r="IE11" s="417"/>
      <c r="IF11" s="417"/>
      <c r="IG11" s="417"/>
      <c r="IH11" s="417"/>
      <c r="II11" s="1157"/>
      <c r="IJ11" s="1157"/>
      <c r="IK11" s="1157"/>
      <c r="IL11" s="1157"/>
      <c r="IM11" s="1157"/>
      <c r="IN11" s="1157"/>
      <c r="IO11" s="418"/>
      <c r="IP11" s="418"/>
      <c r="IQ11" s="418"/>
      <c r="IR11" s="418"/>
      <c r="IS11" s="418"/>
      <c r="IT11" s="418">
        <f t="shared" si="0"/>
        <v>0</v>
      </c>
      <c r="IU11" s="418"/>
      <c r="IV11" s="419" t="s">
        <v>665</v>
      </c>
    </row>
    <row r="12" spans="1:256" s="416" customFormat="1" ht="12.75" customHeight="1">
      <c r="A12" s="423" t="s">
        <v>666</v>
      </c>
      <c r="B12" s="1095"/>
      <c r="C12" s="1095"/>
      <c r="D12" s="1150"/>
      <c r="E12" s="1150"/>
      <c r="F12" s="1146" t="s">
        <v>39</v>
      </c>
      <c r="G12" s="1146"/>
      <c r="H12" s="425" t="s">
        <v>38</v>
      </c>
      <c r="I12" s="426"/>
      <c r="J12" s="426"/>
      <c r="K12" s="426"/>
      <c r="IA12" s="417"/>
      <c r="IB12" s="417"/>
      <c r="IC12" s="417"/>
      <c r="ID12" s="417"/>
      <c r="IE12" s="417"/>
      <c r="IF12" s="417"/>
      <c r="IG12" s="417"/>
      <c r="IH12" s="417"/>
      <c r="II12" s="1157"/>
      <c r="IJ12" s="1157"/>
      <c r="IK12" s="1157"/>
      <c r="IL12" s="1157"/>
      <c r="IM12" s="1157"/>
      <c r="IN12" s="1157"/>
      <c r="IO12" s="418"/>
      <c r="IP12" s="418"/>
      <c r="IQ12" s="418"/>
      <c r="IR12" s="418"/>
      <c r="IS12" s="418"/>
      <c r="IT12" s="418">
        <f t="shared" si="0"/>
        <v>0</v>
      </c>
      <c r="IU12" s="418"/>
      <c r="IV12" s="419" t="s">
        <v>667</v>
      </c>
    </row>
    <row r="13" spans="1:256" s="416" customFormat="1" ht="12.75" customHeight="1">
      <c r="A13" s="427"/>
      <c r="B13" s="1095"/>
      <c r="C13" s="1095"/>
      <c r="D13" s="1149" t="s">
        <v>40</v>
      </c>
      <c r="E13" s="1149"/>
      <c r="F13" s="1149" t="s">
        <v>41</v>
      </c>
      <c r="G13" s="1149"/>
      <c r="H13" s="429" t="s">
        <v>668</v>
      </c>
      <c r="I13" s="426"/>
      <c r="J13" s="426"/>
      <c r="K13" s="426"/>
      <c r="IA13" s="417"/>
      <c r="IB13" s="417"/>
      <c r="IC13" s="417"/>
      <c r="ID13" s="417"/>
      <c r="IE13" s="417"/>
      <c r="IF13" s="417"/>
      <c r="IG13" s="417"/>
      <c r="IH13" s="417"/>
      <c r="II13" s="418"/>
      <c r="IJ13" s="418"/>
      <c r="IK13" s="418"/>
      <c r="IL13" s="418"/>
      <c r="IM13" s="418"/>
      <c r="IN13" s="418"/>
      <c r="IO13" s="418"/>
      <c r="IP13" s="418"/>
      <c r="IQ13" s="418"/>
      <c r="IR13" s="418"/>
      <c r="IS13" s="418"/>
      <c r="IT13" s="418">
        <f>SUM(IT7:IT12)+IO6</f>
        <v>0</v>
      </c>
      <c r="IU13" s="418"/>
      <c r="IV13" s="418"/>
    </row>
    <row r="14" spans="1:256" s="417" customFormat="1" ht="12.75" customHeight="1">
      <c r="A14" s="430" t="s">
        <v>669</v>
      </c>
      <c r="B14" s="1151">
        <f>B15+B18+B21+B24+B25</f>
        <v>190000</v>
      </c>
      <c r="C14" s="1151"/>
      <c r="D14" s="1151">
        <f>D15+D18+D21+D24+D25</f>
        <v>190000</v>
      </c>
      <c r="E14" s="1151"/>
      <c r="F14" s="1151">
        <f>F15+F18+F21+F24+F25</f>
        <v>292149.77</v>
      </c>
      <c r="G14" s="1151"/>
      <c r="H14" s="132">
        <f aca="true" t="shared" si="1" ref="H14:H39">IF(D14="",0,IF(D14=0,0,F14/D14))</f>
        <v>1.5376303684210528</v>
      </c>
      <c r="I14" s="431"/>
      <c r="J14" s="431"/>
      <c r="K14" s="431"/>
      <c r="II14" s="418"/>
      <c r="IJ14" s="418"/>
      <c r="IK14" s="418"/>
      <c r="IL14" s="418"/>
      <c r="IM14" s="418"/>
      <c r="IN14" s="418"/>
      <c r="IO14" s="418"/>
      <c r="IP14" s="418"/>
      <c r="IQ14" s="418"/>
      <c r="IR14" s="418"/>
      <c r="IS14" s="418"/>
      <c r="IT14" s="418"/>
      <c r="IU14" s="432" t="s">
        <v>670</v>
      </c>
      <c r="IV14" s="418">
        <f>+'Informações Iniciais'!C23</f>
        <v>0</v>
      </c>
    </row>
    <row r="15" spans="1:256" s="416" customFormat="1" ht="12.75" customHeight="1">
      <c r="A15" s="433" t="s">
        <v>671</v>
      </c>
      <c r="B15" s="967">
        <f>+B16+B17</f>
        <v>5000</v>
      </c>
      <c r="C15" s="967"/>
      <c r="D15" s="967">
        <f>+D16+D17</f>
        <v>5000</v>
      </c>
      <c r="E15" s="967"/>
      <c r="F15" s="967">
        <f>+F16+F17</f>
        <v>0</v>
      </c>
      <c r="G15" s="967"/>
      <c r="H15" s="132">
        <f t="shared" si="1"/>
        <v>0</v>
      </c>
      <c r="I15" s="426"/>
      <c r="J15" s="426"/>
      <c r="K15" s="426"/>
      <c r="IA15" s="417"/>
      <c r="IB15" s="417"/>
      <c r="IC15" s="417"/>
      <c r="ID15" s="417"/>
      <c r="IE15" s="417"/>
      <c r="IF15" s="417"/>
      <c r="IG15" s="417"/>
      <c r="IH15" s="417"/>
      <c r="II15" s="417"/>
      <c r="IJ15" s="417"/>
      <c r="IK15" s="417"/>
      <c r="IL15" s="417"/>
      <c r="IM15" s="417"/>
      <c r="IN15" s="417"/>
      <c r="IO15" s="417"/>
      <c r="IP15" s="417"/>
      <c r="IQ15" s="417"/>
      <c r="IR15" s="417"/>
      <c r="IS15" s="417"/>
      <c r="IT15" s="417"/>
      <c r="IU15" s="417"/>
      <c r="IV15" s="417"/>
    </row>
    <row r="16" spans="1:256" s="416" customFormat="1" ht="12.75" customHeight="1">
      <c r="A16" s="433" t="s">
        <v>672</v>
      </c>
      <c r="B16" s="920">
        <v>5000</v>
      </c>
      <c r="C16" s="920"/>
      <c r="D16" s="920">
        <v>5000</v>
      </c>
      <c r="E16" s="920"/>
      <c r="F16" s="920">
        <v>0</v>
      </c>
      <c r="G16" s="920"/>
      <c r="H16" s="132">
        <f t="shared" si="1"/>
        <v>0</v>
      </c>
      <c r="I16" s="426"/>
      <c r="J16" s="426"/>
      <c r="K16" s="426"/>
      <c r="IA16" s="417"/>
      <c r="IB16" s="417"/>
      <c r="IC16" s="417"/>
      <c r="ID16" s="417"/>
      <c r="IE16" s="417"/>
      <c r="IF16" s="417"/>
      <c r="IG16" s="417"/>
      <c r="IH16" s="417"/>
      <c r="II16" s="417"/>
      <c r="IJ16" s="417"/>
      <c r="IK16" s="417"/>
      <c r="IL16" s="417"/>
      <c r="IM16" s="417"/>
      <c r="IN16" s="417"/>
      <c r="IO16" s="417"/>
      <c r="IP16" s="417"/>
      <c r="IQ16" s="417"/>
      <c r="IR16" s="417"/>
      <c r="IS16" s="417"/>
      <c r="IT16" s="417"/>
      <c r="IU16" s="417"/>
      <c r="IV16" s="417"/>
    </row>
    <row r="17" spans="1:256" s="416" customFormat="1" ht="12.75" customHeight="1">
      <c r="A17" s="433" t="s">
        <v>673</v>
      </c>
      <c r="B17" s="920">
        <v>0</v>
      </c>
      <c r="C17" s="920"/>
      <c r="D17" s="920">
        <v>0</v>
      </c>
      <c r="E17" s="920"/>
      <c r="F17" s="920">
        <v>0</v>
      </c>
      <c r="G17" s="920"/>
      <c r="H17" s="132">
        <f t="shared" si="1"/>
        <v>0</v>
      </c>
      <c r="I17" s="426"/>
      <c r="J17" s="426"/>
      <c r="K17" s="426"/>
      <c r="IA17" s="417"/>
      <c r="IB17" s="417"/>
      <c r="IC17" s="417"/>
      <c r="ID17" s="417"/>
      <c r="IE17" s="417"/>
      <c r="IF17" s="417"/>
      <c r="IG17" s="417"/>
      <c r="IH17" s="417"/>
      <c r="II17" s="417"/>
      <c r="IJ17" s="417"/>
      <c r="IK17" s="417"/>
      <c r="IL17" s="417"/>
      <c r="IM17" s="417"/>
      <c r="IN17" s="417"/>
      <c r="IO17" s="417"/>
      <c r="IP17" s="417"/>
      <c r="IQ17" s="417"/>
      <c r="IR17" s="417"/>
      <c r="IS17" s="417"/>
      <c r="IT17" s="417"/>
      <c r="IU17" s="417"/>
      <c r="IV17" s="417"/>
    </row>
    <row r="18" spans="1:256" s="416" customFormat="1" ht="12.75" customHeight="1">
      <c r="A18" s="434" t="s">
        <v>674</v>
      </c>
      <c r="B18" s="967">
        <f>+B19+B20</f>
        <v>5000</v>
      </c>
      <c r="C18" s="967"/>
      <c r="D18" s="967">
        <f>+D19+D20</f>
        <v>5000</v>
      </c>
      <c r="E18" s="967"/>
      <c r="F18" s="967">
        <f>+F19+F20</f>
        <v>30900</v>
      </c>
      <c r="G18" s="967"/>
      <c r="H18" s="132">
        <f t="shared" si="1"/>
        <v>6.18</v>
      </c>
      <c r="IA18" s="417"/>
      <c r="IB18" s="417"/>
      <c r="IC18" s="417"/>
      <c r="ID18" s="417"/>
      <c r="IE18" s="417"/>
      <c r="IF18" s="417"/>
      <c r="IG18" s="417"/>
      <c r="IH18" s="417"/>
      <c r="II18" s="417"/>
      <c r="IJ18" s="417"/>
      <c r="IK18" s="417"/>
      <c r="IL18" s="417"/>
      <c r="IM18" s="417"/>
      <c r="IN18" s="417"/>
      <c r="IO18" s="417"/>
      <c r="IP18" s="417"/>
      <c r="IQ18" s="417"/>
      <c r="IR18" s="417"/>
      <c r="IS18" s="417"/>
      <c r="IT18" s="417"/>
      <c r="IU18" s="417"/>
      <c r="IV18" s="417"/>
    </row>
    <row r="19" spans="1:256" s="416" customFormat="1" ht="12.75" customHeight="1">
      <c r="A19" s="433" t="s">
        <v>675</v>
      </c>
      <c r="B19" s="920">
        <v>5000</v>
      </c>
      <c r="C19" s="920"/>
      <c r="D19" s="920">
        <v>5000</v>
      </c>
      <c r="E19" s="920"/>
      <c r="F19" s="920">
        <v>30900</v>
      </c>
      <c r="G19" s="920"/>
      <c r="H19" s="132">
        <f t="shared" si="1"/>
        <v>6.18</v>
      </c>
      <c r="IA19" s="417"/>
      <c r="IB19" s="417"/>
      <c r="IC19" s="417"/>
      <c r="ID19" s="417"/>
      <c r="IE19" s="417"/>
      <c r="IF19" s="417"/>
      <c r="IG19" s="417"/>
      <c r="IH19" s="417"/>
      <c r="II19" s="417"/>
      <c r="IJ19" s="417"/>
      <c r="IK19" s="417"/>
      <c r="IL19" s="417"/>
      <c r="IM19" s="417"/>
      <c r="IN19" s="417"/>
      <c r="IO19" s="417"/>
      <c r="IP19" s="417"/>
      <c r="IQ19" s="417"/>
      <c r="IR19" s="417"/>
      <c r="IS19" s="417"/>
      <c r="IT19" s="417"/>
      <c r="IU19" s="417"/>
      <c r="IV19" s="417"/>
    </row>
    <row r="20" spans="1:256" s="416" customFormat="1" ht="12.75" customHeight="1">
      <c r="A20" s="433" t="s">
        <v>676</v>
      </c>
      <c r="B20" s="920">
        <v>0</v>
      </c>
      <c r="C20" s="920"/>
      <c r="D20" s="920">
        <v>0</v>
      </c>
      <c r="E20" s="920"/>
      <c r="F20" s="920">
        <v>0</v>
      </c>
      <c r="G20" s="920"/>
      <c r="H20" s="132">
        <f t="shared" si="1"/>
        <v>0</v>
      </c>
      <c r="IA20" s="417"/>
      <c r="IB20" s="417"/>
      <c r="IC20" s="417"/>
      <c r="ID20" s="417"/>
      <c r="IE20" s="417"/>
      <c r="IF20" s="417"/>
      <c r="IG20" s="417"/>
      <c r="IH20" s="417"/>
      <c r="II20" s="417"/>
      <c r="IJ20" s="417"/>
      <c r="IK20" s="417"/>
      <c r="IL20" s="417"/>
      <c r="IM20" s="417"/>
      <c r="IN20" s="417"/>
      <c r="IO20" s="417"/>
      <c r="IP20" s="417"/>
      <c r="IQ20" s="417"/>
      <c r="IR20" s="417"/>
      <c r="IS20" s="417"/>
      <c r="IT20" s="417"/>
      <c r="IU20" s="417"/>
      <c r="IV20" s="417"/>
    </row>
    <row r="21" spans="1:256" s="416" customFormat="1" ht="12.75" customHeight="1">
      <c r="A21" s="433" t="s">
        <v>677</v>
      </c>
      <c r="B21" s="967">
        <f>+B22+B23</f>
        <v>80000</v>
      </c>
      <c r="C21" s="967"/>
      <c r="D21" s="967">
        <f>+D22+D23</f>
        <v>80000</v>
      </c>
      <c r="E21" s="967"/>
      <c r="F21" s="967">
        <f>+F22+F23</f>
        <v>47824.62</v>
      </c>
      <c r="G21" s="967"/>
      <c r="H21" s="132">
        <f t="shared" si="1"/>
        <v>0.5978077500000001</v>
      </c>
      <c r="IV21" s="417"/>
    </row>
    <row r="22" spans="1:256" s="416" customFormat="1" ht="12.75" customHeight="1">
      <c r="A22" s="433" t="s">
        <v>678</v>
      </c>
      <c r="B22" s="920">
        <v>80000</v>
      </c>
      <c r="C22" s="920"/>
      <c r="D22" s="920">
        <v>80000</v>
      </c>
      <c r="E22" s="920"/>
      <c r="F22" s="920">
        <v>47824.62</v>
      </c>
      <c r="G22" s="920"/>
      <c r="H22" s="132">
        <f t="shared" si="1"/>
        <v>0.5978077500000001</v>
      </c>
      <c r="IV22" s="417"/>
    </row>
    <row r="23" spans="1:256" s="416" customFormat="1" ht="12.75" customHeight="1">
      <c r="A23" s="433" t="s">
        <v>679</v>
      </c>
      <c r="B23" s="920">
        <v>0</v>
      </c>
      <c r="C23" s="920"/>
      <c r="D23" s="920">
        <v>0</v>
      </c>
      <c r="E23" s="920"/>
      <c r="F23" s="920">
        <v>0</v>
      </c>
      <c r="G23" s="920"/>
      <c r="H23" s="132">
        <f t="shared" si="1"/>
        <v>0</v>
      </c>
      <c r="IV23" s="417"/>
    </row>
    <row r="24" spans="1:256" s="416" customFormat="1" ht="12.75" customHeight="1">
      <c r="A24" s="433" t="s">
        <v>680</v>
      </c>
      <c r="B24" s="920">
        <v>100000</v>
      </c>
      <c r="C24" s="920"/>
      <c r="D24" s="920">
        <v>100000</v>
      </c>
      <c r="E24" s="920"/>
      <c r="F24" s="920">
        <v>213425.15</v>
      </c>
      <c r="G24" s="920"/>
      <c r="H24" s="132">
        <f t="shared" si="1"/>
        <v>2.1342515</v>
      </c>
      <c r="IV24" s="417"/>
    </row>
    <row r="25" spans="1:256" s="416" customFormat="1" ht="12.75" customHeight="1" hidden="1">
      <c r="A25" s="433" t="s">
        <v>681</v>
      </c>
      <c r="B25" s="967">
        <f>+B26+B27</f>
        <v>0</v>
      </c>
      <c r="C25" s="967"/>
      <c r="D25" s="967">
        <f>+D26+D27</f>
        <v>0</v>
      </c>
      <c r="E25" s="967"/>
      <c r="F25" s="967">
        <f>+F26+F27</f>
        <v>0</v>
      </c>
      <c r="G25" s="967"/>
      <c r="H25" s="132">
        <f t="shared" si="1"/>
        <v>0</v>
      </c>
      <c r="IV25" s="417"/>
    </row>
    <row r="26" spans="1:256" s="416" customFormat="1" ht="12.75" customHeight="1" hidden="1">
      <c r="A26" s="434" t="s">
        <v>682</v>
      </c>
      <c r="B26" s="905">
        <v>0</v>
      </c>
      <c r="C26" s="905"/>
      <c r="D26" s="905">
        <v>0</v>
      </c>
      <c r="E26" s="905"/>
      <c r="F26" s="905">
        <v>0</v>
      </c>
      <c r="G26" s="905"/>
      <c r="H26" s="132">
        <f t="shared" si="1"/>
        <v>0</v>
      </c>
      <c r="IV26" s="417"/>
    </row>
    <row r="27" spans="1:256" s="416" customFormat="1" ht="12.75" customHeight="1" hidden="1">
      <c r="A27" s="433" t="s">
        <v>683</v>
      </c>
      <c r="B27" s="905">
        <v>0</v>
      </c>
      <c r="C27" s="905"/>
      <c r="D27" s="905">
        <v>0</v>
      </c>
      <c r="E27" s="905"/>
      <c r="F27" s="905">
        <v>0</v>
      </c>
      <c r="G27" s="905"/>
      <c r="H27" s="132">
        <f t="shared" si="1"/>
        <v>0</v>
      </c>
      <c r="IV27" s="417"/>
    </row>
    <row r="28" spans="1:256" s="416" customFormat="1" ht="12.75" customHeight="1">
      <c r="A28" s="433" t="s">
        <v>684</v>
      </c>
      <c r="B28" s="1151">
        <f>SUM(B29,B33:C38)</f>
        <v>10640000</v>
      </c>
      <c r="C28" s="1151"/>
      <c r="D28" s="1151">
        <f>SUM(D29,D33:E38)</f>
        <v>10640000</v>
      </c>
      <c r="E28" s="1151"/>
      <c r="F28" s="1151">
        <f>SUM(F29,F33:G38)</f>
        <v>4730540.469999999</v>
      </c>
      <c r="G28" s="1151"/>
      <c r="H28" s="132">
        <f t="shared" si="1"/>
        <v>0.4445996682330826</v>
      </c>
      <c r="I28" s="435"/>
      <c r="IV28" s="417"/>
    </row>
    <row r="29" spans="1:256" s="416" customFormat="1" ht="12.75" customHeight="1">
      <c r="A29" s="433" t="s">
        <v>685</v>
      </c>
      <c r="B29" s="967">
        <f>SUM(B30:B32)</f>
        <v>9000000</v>
      </c>
      <c r="C29" s="967"/>
      <c r="D29" s="967">
        <f>SUM(D30:D32)</f>
        <v>9000000</v>
      </c>
      <c r="E29" s="967"/>
      <c r="F29" s="967">
        <f>SUM(F30:F32)</f>
        <v>3756639.03</v>
      </c>
      <c r="G29" s="967"/>
      <c r="H29" s="132">
        <f t="shared" si="1"/>
        <v>0.41740433666666665</v>
      </c>
      <c r="IV29" s="417"/>
    </row>
    <row r="30" spans="1:256" s="416" customFormat="1" ht="12.75" customHeight="1">
      <c r="A30" s="433" t="s">
        <v>686</v>
      </c>
      <c r="B30" s="920">
        <v>8500000</v>
      </c>
      <c r="C30" s="920"/>
      <c r="D30" s="920">
        <v>8500000</v>
      </c>
      <c r="E30" s="920"/>
      <c r="F30" s="920">
        <v>3756639.03</v>
      </c>
      <c r="G30" s="920"/>
      <c r="H30" s="132">
        <f t="shared" si="1"/>
        <v>0.44195753294117646</v>
      </c>
      <c r="IV30" s="417"/>
    </row>
    <row r="31" spans="1:256" s="416" customFormat="1" ht="12.75" customHeight="1">
      <c r="A31" s="433" t="s">
        <v>687</v>
      </c>
      <c r="B31" s="905">
        <v>250000</v>
      </c>
      <c r="C31" s="905"/>
      <c r="D31" s="905">
        <v>250000</v>
      </c>
      <c r="E31" s="905"/>
      <c r="F31" s="905">
        <v>0</v>
      </c>
      <c r="G31" s="905"/>
      <c r="H31" s="132">
        <f t="shared" si="1"/>
        <v>0</v>
      </c>
      <c r="IV31" s="417"/>
    </row>
    <row r="32" spans="1:256" s="416" customFormat="1" ht="12.75" customHeight="1">
      <c r="A32" s="433" t="s">
        <v>688</v>
      </c>
      <c r="B32" s="917">
        <v>250000</v>
      </c>
      <c r="C32" s="917"/>
      <c r="D32" s="917">
        <v>250000</v>
      </c>
      <c r="E32" s="917"/>
      <c r="F32" s="917">
        <v>0</v>
      </c>
      <c r="G32" s="917"/>
      <c r="H32" s="132">
        <f t="shared" si="1"/>
        <v>0</v>
      </c>
      <c r="IV32" s="417"/>
    </row>
    <row r="33" spans="1:256" s="416" customFormat="1" ht="12.75" customHeight="1">
      <c r="A33" s="433" t="s">
        <v>689</v>
      </c>
      <c r="B33" s="920">
        <v>1500000</v>
      </c>
      <c r="C33" s="920"/>
      <c r="D33" s="920">
        <v>1500000</v>
      </c>
      <c r="E33" s="920"/>
      <c r="F33" s="920">
        <v>901823.86</v>
      </c>
      <c r="G33" s="920"/>
      <c r="H33" s="132">
        <f t="shared" si="1"/>
        <v>0.6012159066666667</v>
      </c>
      <c r="IV33" s="417"/>
    </row>
    <row r="34" spans="1:256" s="416" customFormat="1" ht="12.75" customHeight="1">
      <c r="A34" s="433" t="s">
        <v>690</v>
      </c>
      <c r="B34" s="920">
        <v>10000</v>
      </c>
      <c r="C34" s="920"/>
      <c r="D34" s="920">
        <v>10000</v>
      </c>
      <c r="E34" s="920"/>
      <c r="F34" s="920">
        <v>0</v>
      </c>
      <c r="G34" s="920"/>
      <c r="H34" s="132">
        <f t="shared" si="1"/>
        <v>0</v>
      </c>
      <c r="IV34" s="417"/>
    </row>
    <row r="35" spans="1:256" s="416" customFormat="1" ht="12.75" customHeight="1">
      <c r="A35" s="433" t="s">
        <v>691</v>
      </c>
      <c r="B35" s="920">
        <v>20000</v>
      </c>
      <c r="C35" s="920"/>
      <c r="D35" s="920">
        <v>20000</v>
      </c>
      <c r="E35" s="920"/>
      <c r="F35" s="920">
        <v>5137.63</v>
      </c>
      <c r="G35" s="920"/>
      <c r="H35" s="132">
        <f t="shared" si="1"/>
        <v>0.2568815</v>
      </c>
      <c r="IV35" s="417"/>
    </row>
    <row r="36" spans="1:256" s="416" customFormat="1" ht="12.75" customHeight="1">
      <c r="A36" s="433" t="s">
        <v>692</v>
      </c>
      <c r="B36" s="920">
        <v>10000</v>
      </c>
      <c r="C36" s="920"/>
      <c r="D36" s="920">
        <v>10000</v>
      </c>
      <c r="E36" s="920"/>
      <c r="F36" s="920">
        <v>2626.27</v>
      </c>
      <c r="G36" s="920"/>
      <c r="H36" s="132">
        <f t="shared" si="1"/>
        <v>0.262627</v>
      </c>
      <c r="IV36" s="417"/>
    </row>
    <row r="37" spans="1:256" s="416" customFormat="1" ht="12.75" customHeight="1">
      <c r="A37" s="433" t="s">
        <v>693</v>
      </c>
      <c r="B37" s="920">
        <v>100000</v>
      </c>
      <c r="C37" s="920"/>
      <c r="D37" s="920">
        <v>100000</v>
      </c>
      <c r="E37" s="920"/>
      <c r="F37" s="920">
        <v>64313.68</v>
      </c>
      <c r="G37" s="920"/>
      <c r="H37" s="132">
        <f t="shared" si="1"/>
        <v>0.6431368</v>
      </c>
      <c r="IV37" s="417"/>
    </row>
    <row r="38" spans="1:256" s="416" customFormat="1" ht="12.75" customHeight="1">
      <c r="A38" s="433" t="s">
        <v>694</v>
      </c>
      <c r="B38" s="905">
        <v>0</v>
      </c>
      <c r="C38" s="905"/>
      <c r="D38" s="905">
        <v>0</v>
      </c>
      <c r="E38" s="905"/>
      <c r="F38" s="905">
        <v>0</v>
      </c>
      <c r="G38" s="905"/>
      <c r="H38" s="132">
        <f t="shared" si="1"/>
        <v>0</v>
      </c>
      <c r="IV38" s="417"/>
    </row>
    <row r="39" spans="1:256" s="416" customFormat="1" ht="12.75" customHeight="1">
      <c r="A39" s="436" t="s">
        <v>695</v>
      </c>
      <c r="B39" s="1144">
        <f>B14+B28</f>
        <v>10830000</v>
      </c>
      <c r="C39" s="1144"/>
      <c r="D39" s="1144">
        <f>D14+D28</f>
        <v>10830000</v>
      </c>
      <c r="E39" s="1144"/>
      <c r="F39" s="1144">
        <f>F14+F28</f>
        <v>5022690.239999998</v>
      </c>
      <c r="G39" s="1144"/>
      <c r="H39" s="437">
        <f t="shared" si="1"/>
        <v>0.4637756454293627</v>
      </c>
      <c r="I39" s="435"/>
      <c r="IV39" s="417"/>
    </row>
    <row r="40" spans="1:256" s="416" customFormat="1" ht="12.75" customHeight="1">
      <c r="A40" s="438"/>
      <c r="B40" s="1095" t="s">
        <v>33</v>
      </c>
      <c r="C40" s="1095"/>
      <c r="D40" s="1150" t="s">
        <v>34</v>
      </c>
      <c r="E40" s="1150"/>
      <c r="F40" s="1147" t="s">
        <v>35</v>
      </c>
      <c r="G40" s="1147"/>
      <c r="H40" s="1147"/>
      <c r="IV40" s="417"/>
    </row>
    <row r="41" spans="1:256" s="416" customFormat="1" ht="12.75" customHeight="1">
      <c r="A41" s="439" t="s">
        <v>696</v>
      </c>
      <c r="B41" s="1095"/>
      <c r="C41" s="1095"/>
      <c r="D41" s="1150"/>
      <c r="E41" s="1150"/>
      <c r="F41" s="1146" t="s">
        <v>39</v>
      </c>
      <c r="G41" s="1146"/>
      <c r="H41" s="425" t="s">
        <v>38</v>
      </c>
      <c r="IV41" s="417"/>
    </row>
    <row r="42" spans="1:256" s="416" customFormat="1" ht="12.75" customHeight="1">
      <c r="A42" s="427"/>
      <c r="B42" s="1095"/>
      <c r="C42" s="1095"/>
      <c r="D42" s="1149" t="s">
        <v>40</v>
      </c>
      <c r="E42" s="1149"/>
      <c r="F42" s="1149" t="s">
        <v>41</v>
      </c>
      <c r="G42" s="1149"/>
      <c r="H42" s="429" t="s">
        <v>668</v>
      </c>
      <c r="IV42" s="417"/>
    </row>
    <row r="43" spans="1:256" s="416" customFormat="1" ht="25.5" customHeight="1">
      <c r="A43" s="433" t="s">
        <v>697</v>
      </c>
      <c r="B43" s="917">
        <v>0</v>
      </c>
      <c r="C43" s="917"/>
      <c r="D43" s="917">
        <v>0</v>
      </c>
      <c r="E43" s="917"/>
      <c r="F43" s="917">
        <v>0</v>
      </c>
      <c r="G43" s="917"/>
      <c r="H43" s="132">
        <f aca="true" t="shared" si="2" ref="H43:H56">IF(D43="",0,IF(D43=0,0,F43/D43))</f>
        <v>0</v>
      </c>
      <c r="I43" s="27"/>
      <c r="IV43" s="417"/>
    </row>
    <row r="44" spans="1:256" s="416" customFormat="1" ht="12.75" customHeight="1">
      <c r="A44" s="433" t="s">
        <v>698</v>
      </c>
      <c r="B44" s="967">
        <f>SUM(B45:C50)</f>
        <v>602000</v>
      </c>
      <c r="C44" s="967"/>
      <c r="D44" s="967">
        <f>SUM(D45:E50)</f>
        <v>602000</v>
      </c>
      <c r="E44" s="967"/>
      <c r="F44" s="967">
        <f>SUM(F45:G50)</f>
        <v>204564.40000000002</v>
      </c>
      <c r="G44" s="967"/>
      <c r="H44" s="132">
        <f t="shared" si="2"/>
        <v>0.3398079734219269</v>
      </c>
      <c r="I44" s="27"/>
      <c r="IV44" s="417"/>
    </row>
    <row r="45" spans="1:256" s="416" customFormat="1" ht="12.75" customHeight="1">
      <c r="A45" s="433" t="s">
        <v>699</v>
      </c>
      <c r="B45" s="920">
        <v>126000</v>
      </c>
      <c r="C45" s="920"/>
      <c r="D45" s="920">
        <v>126000</v>
      </c>
      <c r="E45" s="920"/>
      <c r="F45" s="920">
        <v>52164.91</v>
      </c>
      <c r="G45" s="920"/>
      <c r="H45" s="132">
        <f t="shared" si="2"/>
        <v>0.41400722222222225</v>
      </c>
      <c r="I45" s="27"/>
      <c r="IV45" s="417"/>
    </row>
    <row r="46" spans="1:256" s="416" customFormat="1" ht="12.75" customHeight="1">
      <c r="A46" s="440" t="s">
        <v>700</v>
      </c>
      <c r="B46" s="920">
        <v>34000</v>
      </c>
      <c r="C46" s="920"/>
      <c r="D46" s="920">
        <v>34000</v>
      </c>
      <c r="E46" s="920"/>
      <c r="F46" s="920">
        <v>11700</v>
      </c>
      <c r="G46" s="920"/>
      <c r="H46" s="132">
        <f t="shared" si="2"/>
        <v>0.34411764705882353</v>
      </c>
      <c r="I46" s="27"/>
      <c r="IV46" s="417"/>
    </row>
    <row r="47" spans="1:256" s="416" customFormat="1" ht="12.75" customHeight="1">
      <c r="A47" s="440" t="s">
        <v>701</v>
      </c>
      <c r="B47" s="920">
        <v>198000</v>
      </c>
      <c r="C47" s="920"/>
      <c r="D47" s="920">
        <v>198000</v>
      </c>
      <c r="E47" s="920"/>
      <c r="F47" s="920">
        <v>112883.8</v>
      </c>
      <c r="G47" s="920"/>
      <c r="H47" s="132">
        <f t="shared" si="2"/>
        <v>0.5701202020202021</v>
      </c>
      <c r="I47" s="27"/>
      <c r="IV47" s="417"/>
    </row>
    <row r="48" spans="1:256" s="416" customFormat="1" ht="12.75" customHeight="1">
      <c r="A48" s="440" t="s">
        <v>702</v>
      </c>
      <c r="B48" s="920">
        <v>128000</v>
      </c>
      <c r="C48" s="920"/>
      <c r="D48" s="920">
        <v>128000</v>
      </c>
      <c r="E48" s="920"/>
      <c r="F48" s="920">
        <v>27311.77</v>
      </c>
      <c r="G48" s="920"/>
      <c r="H48" s="132">
        <f t="shared" si="2"/>
        <v>0.213373203125</v>
      </c>
      <c r="I48" s="27"/>
      <c r="IV48" s="417"/>
    </row>
    <row r="49" spans="1:256" s="416" customFormat="1" ht="12.75" customHeight="1">
      <c r="A49" s="433" t="s">
        <v>703</v>
      </c>
      <c r="B49" s="920">
        <v>116000</v>
      </c>
      <c r="C49" s="920"/>
      <c r="D49" s="920">
        <v>116000</v>
      </c>
      <c r="E49" s="920"/>
      <c r="F49" s="920">
        <v>503.92</v>
      </c>
      <c r="G49" s="920"/>
      <c r="H49" s="132">
        <f t="shared" si="2"/>
        <v>0.004344137931034483</v>
      </c>
      <c r="I49" s="27"/>
      <c r="IV49" s="417"/>
    </row>
    <row r="50" spans="1:256" s="416" customFormat="1" ht="12.75" customHeight="1">
      <c r="A50" s="433" t="s">
        <v>704</v>
      </c>
      <c r="B50" s="905">
        <v>0</v>
      </c>
      <c r="C50" s="905"/>
      <c r="D50" s="905">
        <v>0</v>
      </c>
      <c r="E50" s="905"/>
      <c r="F50" s="905">
        <v>0</v>
      </c>
      <c r="G50" s="905"/>
      <c r="H50" s="132">
        <f t="shared" si="2"/>
        <v>0</v>
      </c>
      <c r="I50" s="27"/>
      <c r="IV50" s="417"/>
    </row>
    <row r="51" spans="1:256" s="416" customFormat="1" ht="12.75" customHeight="1">
      <c r="A51" s="433" t="s">
        <v>705</v>
      </c>
      <c r="B51" s="967">
        <f>B52+B53</f>
        <v>738000</v>
      </c>
      <c r="C51" s="967"/>
      <c r="D51" s="967">
        <f>D52+D53</f>
        <v>738000</v>
      </c>
      <c r="E51" s="967"/>
      <c r="F51" s="967">
        <f>F52+F53</f>
        <v>0</v>
      </c>
      <c r="G51" s="967"/>
      <c r="H51" s="132">
        <f t="shared" si="2"/>
        <v>0</v>
      </c>
      <c r="I51" s="27"/>
      <c r="IV51" s="417"/>
    </row>
    <row r="52" spans="1:256" s="416" customFormat="1" ht="12.75" customHeight="1">
      <c r="A52" s="441" t="s">
        <v>706</v>
      </c>
      <c r="B52" s="920">
        <v>738000</v>
      </c>
      <c r="C52" s="920"/>
      <c r="D52" s="920">
        <v>738000</v>
      </c>
      <c r="E52" s="920"/>
      <c r="F52" s="905">
        <v>0</v>
      </c>
      <c r="G52" s="905"/>
      <c r="H52" s="132">
        <f t="shared" si="2"/>
        <v>0</v>
      </c>
      <c r="IV52" s="417"/>
    </row>
    <row r="53" spans="1:256" s="416" customFormat="1" ht="12.75" customHeight="1">
      <c r="A53" s="442" t="s">
        <v>707</v>
      </c>
      <c r="B53" s="905">
        <v>0</v>
      </c>
      <c r="C53" s="905"/>
      <c r="D53" s="905">
        <v>0</v>
      </c>
      <c r="E53" s="905"/>
      <c r="F53" s="905">
        <v>0</v>
      </c>
      <c r="G53" s="905"/>
      <c r="H53" s="132">
        <f t="shared" si="2"/>
        <v>0</v>
      </c>
      <c r="IV53" s="417"/>
    </row>
    <row r="54" spans="1:256" s="416" customFormat="1" ht="12.75" customHeight="1">
      <c r="A54" s="433" t="s">
        <v>708</v>
      </c>
      <c r="B54" s="905">
        <v>0</v>
      </c>
      <c r="C54" s="905"/>
      <c r="D54" s="905">
        <v>0</v>
      </c>
      <c r="E54" s="905"/>
      <c r="F54" s="905">
        <v>0</v>
      </c>
      <c r="G54" s="905"/>
      <c r="H54" s="132">
        <f t="shared" si="2"/>
        <v>0</v>
      </c>
      <c r="IV54" s="417"/>
    </row>
    <row r="55" spans="1:256" s="416" customFormat="1" ht="12.75" customHeight="1">
      <c r="A55" s="433" t="s">
        <v>709</v>
      </c>
      <c r="B55" s="905">
        <v>605000</v>
      </c>
      <c r="C55" s="905"/>
      <c r="D55" s="905">
        <v>605000</v>
      </c>
      <c r="E55" s="905"/>
      <c r="F55" s="905">
        <v>0</v>
      </c>
      <c r="G55" s="905"/>
      <c r="H55" s="132">
        <f t="shared" si="2"/>
        <v>0</v>
      </c>
      <c r="IV55" s="417"/>
    </row>
    <row r="56" spans="1:256" s="416" customFormat="1" ht="15" customHeight="1">
      <c r="A56" s="436" t="s">
        <v>710</v>
      </c>
      <c r="B56" s="1144">
        <f>SUM(B43,B44,B51,B54:C55)</f>
        <v>1945000</v>
      </c>
      <c r="C56" s="1144"/>
      <c r="D56" s="1144">
        <f>SUM(D43,D44,D51,D54:E55)</f>
        <v>1945000</v>
      </c>
      <c r="E56" s="1144"/>
      <c r="F56" s="1144">
        <f>SUM(F43,F44,F51,F54:G55)</f>
        <v>204564.40000000002</v>
      </c>
      <c r="G56" s="1144"/>
      <c r="H56" s="437">
        <f t="shared" si="2"/>
        <v>0.10517449871465297</v>
      </c>
      <c r="I56" s="435"/>
      <c r="IV56" s="417"/>
    </row>
    <row r="57" spans="1:256" s="416" customFormat="1" ht="12.75" customHeight="1">
      <c r="A57" s="1145" t="s">
        <v>711</v>
      </c>
      <c r="B57" s="1145"/>
      <c r="C57" s="1145"/>
      <c r="D57" s="1145"/>
      <c r="E57" s="1145"/>
      <c r="F57" s="1145"/>
      <c r="G57" s="1145"/>
      <c r="H57" s="1145"/>
      <c r="IV57" s="417"/>
    </row>
    <row r="58" spans="1:256" s="416" customFormat="1" ht="12.75" customHeight="1">
      <c r="A58" s="438"/>
      <c r="B58" s="1095" t="s">
        <v>33</v>
      </c>
      <c r="C58" s="1095"/>
      <c r="D58" s="1146" t="s">
        <v>712</v>
      </c>
      <c r="E58" s="1146"/>
      <c r="F58" s="1147" t="s">
        <v>35</v>
      </c>
      <c r="G58" s="1147"/>
      <c r="H58" s="1147"/>
      <c r="IV58" s="417"/>
    </row>
    <row r="59" spans="1:256" s="416" customFormat="1" ht="12.75" customHeight="1">
      <c r="A59" s="439" t="s">
        <v>713</v>
      </c>
      <c r="B59" s="1095"/>
      <c r="C59" s="1095"/>
      <c r="D59" s="1148" t="s">
        <v>202</v>
      </c>
      <c r="E59" s="1148"/>
      <c r="F59" s="1146" t="s">
        <v>39</v>
      </c>
      <c r="G59" s="1146"/>
      <c r="H59" s="425" t="s">
        <v>38</v>
      </c>
      <c r="IV59" s="417"/>
    </row>
    <row r="60" spans="1:256" s="416" customFormat="1" ht="12.75" customHeight="1">
      <c r="A60" s="444"/>
      <c r="B60" s="1095"/>
      <c r="C60" s="1095"/>
      <c r="D60" s="1149" t="s">
        <v>40</v>
      </c>
      <c r="E60" s="1149"/>
      <c r="F60" s="1149" t="s">
        <v>41</v>
      </c>
      <c r="G60" s="1149"/>
      <c r="H60" s="429" t="s">
        <v>668</v>
      </c>
      <c r="IV60" s="417"/>
    </row>
    <row r="61" spans="1:256" s="416" customFormat="1" ht="12.75" customHeight="1">
      <c r="A61" s="445" t="s">
        <v>714</v>
      </c>
      <c r="B61" s="967">
        <f>SUM(B62:C67)</f>
        <v>2026000</v>
      </c>
      <c r="C61" s="967"/>
      <c r="D61" s="967">
        <f>SUM(D62:E67)</f>
        <v>2026000</v>
      </c>
      <c r="E61" s="967"/>
      <c r="F61" s="967">
        <f>SUM(F62:G67)</f>
        <v>931692.31</v>
      </c>
      <c r="G61" s="967"/>
      <c r="H61" s="132">
        <f aca="true" t="shared" si="3" ref="H61:H72">IF(D61="",0,IF(D61=0,0,F61/D61))</f>
        <v>0.4598678726554788</v>
      </c>
      <c r="IV61" s="417"/>
    </row>
    <row r="62" spans="1:256" s="416" customFormat="1" ht="12.75" customHeight="1">
      <c r="A62" s="433" t="s">
        <v>715</v>
      </c>
      <c r="B62" s="920">
        <v>1700000</v>
      </c>
      <c r="C62" s="920"/>
      <c r="D62" s="920">
        <v>1700000</v>
      </c>
      <c r="E62" s="920"/>
      <c r="F62" s="920">
        <v>751327.65</v>
      </c>
      <c r="G62" s="920"/>
      <c r="H62" s="132">
        <f t="shared" si="3"/>
        <v>0.4419574411764706</v>
      </c>
      <c r="IV62" s="417"/>
    </row>
    <row r="63" spans="1:256" s="416" customFormat="1" ht="12.75" customHeight="1">
      <c r="A63" s="433" t="s">
        <v>716</v>
      </c>
      <c r="B63" s="920">
        <v>300000</v>
      </c>
      <c r="C63" s="920"/>
      <c r="D63" s="920">
        <v>300000</v>
      </c>
      <c r="E63" s="920"/>
      <c r="F63" s="920">
        <v>180364.66</v>
      </c>
      <c r="G63" s="920"/>
      <c r="H63" s="132">
        <f t="shared" si="3"/>
        <v>0.6012155333333333</v>
      </c>
      <c r="IV63" s="417"/>
    </row>
    <row r="64" spans="1:256" s="416" customFormat="1" ht="12.75" customHeight="1">
      <c r="A64" s="433" t="s">
        <v>717</v>
      </c>
      <c r="B64" s="920">
        <v>2000</v>
      </c>
      <c r="C64" s="920"/>
      <c r="D64" s="920">
        <v>2000</v>
      </c>
      <c r="E64" s="920"/>
      <c r="F64" s="920">
        <v>0</v>
      </c>
      <c r="G64" s="920"/>
      <c r="H64" s="132">
        <f t="shared" si="3"/>
        <v>0</v>
      </c>
      <c r="IV64" s="417"/>
    </row>
    <row r="65" spans="1:256" s="416" customFormat="1" ht="12.75" customHeight="1">
      <c r="A65" s="433" t="s">
        <v>718</v>
      </c>
      <c r="B65" s="920">
        <v>4000</v>
      </c>
      <c r="C65" s="920"/>
      <c r="D65" s="920">
        <v>4000</v>
      </c>
      <c r="E65" s="920"/>
      <c r="F65" s="920">
        <v>0</v>
      </c>
      <c r="G65" s="920"/>
      <c r="H65" s="132">
        <f t="shared" si="3"/>
        <v>0</v>
      </c>
      <c r="IV65" s="417"/>
    </row>
    <row r="66" spans="1:256" s="416" customFormat="1" ht="15" customHeight="1">
      <c r="A66" s="433" t="s">
        <v>719</v>
      </c>
      <c r="B66" s="920">
        <v>0</v>
      </c>
      <c r="C66" s="920"/>
      <c r="D66" s="920">
        <v>0</v>
      </c>
      <c r="E66" s="920"/>
      <c r="F66" s="920">
        <v>0</v>
      </c>
      <c r="G66" s="920"/>
      <c r="H66" s="132">
        <f t="shared" si="3"/>
        <v>0</v>
      </c>
      <c r="IV66" s="417"/>
    </row>
    <row r="67" spans="1:256" s="416" customFormat="1" ht="12.75" customHeight="1">
      <c r="A67" s="433" t="s">
        <v>720</v>
      </c>
      <c r="B67" s="920">
        <v>20000</v>
      </c>
      <c r="C67" s="920"/>
      <c r="D67" s="920">
        <v>20000</v>
      </c>
      <c r="E67" s="920"/>
      <c r="F67" s="920">
        <v>0</v>
      </c>
      <c r="G67" s="920"/>
      <c r="H67" s="132">
        <f t="shared" si="3"/>
        <v>0</v>
      </c>
      <c r="IV67" s="417"/>
    </row>
    <row r="68" spans="1:256" s="416" customFormat="1" ht="12.75" customHeight="1">
      <c r="A68" s="433" t="s">
        <v>721</v>
      </c>
      <c r="B68" s="967">
        <f>SUM(B69:C71)</f>
        <v>8911000</v>
      </c>
      <c r="C68" s="967"/>
      <c r="D68" s="967">
        <f>SUM(D69:E71)</f>
        <v>8911000</v>
      </c>
      <c r="E68" s="967"/>
      <c r="F68" s="967">
        <f>SUM(F69:G71)</f>
        <v>3970389.61</v>
      </c>
      <c r="G68" s="967"/>
      <c r="H68" s="132">
        <f t="shared" si="3"/>
        <v>0.4455604993827853</v>
      </c>
      <c r="I68" s="27"/>
      <c r="IV68" s="417"/>
    </row>
    <row r="69" spans="1:256" s="416" customFormat="1" ht="12.75" customHeight="1">
      <c r="A69" s="433" t="s">
        <v>722</v>
      </c>
      <c r="B69" s="920">
        <v>4632000</v>
      </c>
      <c r="C69" s="920"/>
      <c r="D69" s="920">
        <v>4632000</v>
      </c>
      <c r="E69" s="920"/>
      <c r="F69" s="920">
        <v>1903505.56</v>
      </c>
      <c r="G69" s="920"/>
      <c r="H69" s="132">
        <f t="shared" si="3"/>
        <v>0.4109467962003454</v>
      </c>
      <c r="IV69" s="417"/>
    </row>
    <row r="70" spans="1:256" s="416" customFormat="1" ht="12.75" customHeight="1">
      <c r="A70" s="433" t="s">
        <v>723</v>
      </c>
      <c r="B70" s="920">
        <v>4274000</v>
      </c>
      <c r="C70" s="920"/>
      <c r="D70" s="920">
        <v>4274000</v>
      </c>
      <c r="E70" s="920"/>
      <c r="F70" s="920">
        <v>2064442.69</v>
      </c>
      <c r="G70" s="920"/>
      <c r="H70" s="132">
        <f t="shared" si="3"/>
        <v>0.4830235587271876</v>
      </c>
      <c r="IV70" s="417"/>
    </row>
    <row r="71" spans="1:256" s="416" customFormat="1" ht="15" customHeight="1">
      <c r="A71" s="433" t="s">
        <v>724</v>
      </c>
      <c r="B71" s="920">
        <v>5000</v>
      </c>
      <c r="C71" s="920"/>
      <c r="D71" s="920">
        <v>5000</v>
      </c>
      <c r="E71" s="920"/>
      <c r="F71" s="920">
        <v>2441.36</v>
      </c>
      <c r="G71" s="920"/>
      <c r="H71" s="132">
        <f t="shared" si="3"/>
        <v>0.48827200000000004</v>
      </c>
      <c r="IV71" s="417"/>
    </row>
    <row r="72" spans="1:256" s="416" customFormat="1" ht="15" customHeight="1">
      <c r="A72" s="436" t="s">
        <v>725</v>
      </c>
      <c r="B72" s="1144">
        <f>B69-B61</f>
        <v>2606000</v>
      </c>
      <c r="C72" s="1144"/>
      <c r="D72" s="1144">
        <f>D69-D61</f>
        <v>2606000</v>
      </c>
      <c r="E72" s="1144"/>
      <c r="F72" s="1144">
        <f>F69-F61</f>
        <v>971813.25</v>
      </c>
      <c r="G72" s="1144"/>
      <c r="H72" s="446">
        <f t="shared" si="3"/>
        <v>0.37291375671527244</v>
      </c>
      <c r="IV72" s="417"/>
    </row>
    <row r="73" spans="1:256" s="416" customFormat="1" ht="15" customHeight="1">
      <c r="A73" s="1138" t="s">
        <v>726</v>
      </c>
      <c r="B73" s="1138"/>
      <c r="C73" s="1138"/>
      <c r="D73" s="1138"/>
      <c r="E73" s="1138"/>
      <c r="F73" s="1139">
        <f>IF(F72&gt;0,F72,0)</f>
        <v>971813.25</v>
      </c>
      <c r="G73" s="1139"/>
      <c r="H73" s="1140"/>
      <c r="I73" s="447"/>
      <c r="J73" s="447"/>
      <c r="K73" s="447"/>
      <c r="L73" s="435"/>
      <c r="IV73" s="417"/>
    </row>
    <row r="74" spans="1:256" s="416" customFormat="1" ht="15" customHeight="1">
      <c r="A74" s="1141" t="s">
        <v>727</v>
      </c>
      <c r="B74" s="1141"/>
      <c r="C74" s="1141"/>
      <c r="D74" s="1141"/>
      <c r="E74" s="1141"/>
      <c r="F74" s="1139">
        <f>IF(F72&lt;0,F72,0)</f>
        <v>0</v>
      </c>
      <c r="G74" s="1139"/>
      <c r="H74" s="1140"/>
      <c r="I74" s="448"/>
      <c r="J74" s="448"/>
      <c r="K74" s="448"/>
      <c r="L74" s="435"/>
      <c r="IV74" s="417"/>
    </row>
    <row r="75" spans="1:256" s="416" customFormat="1" ht="44.25" customHeight="1">
      <c r="A75" s="1142" t="s">
        <v>728</v>
      </c>
      <c r="B75" s="1143" t="s">
        <v>117</v>
      </c>
      <c r="C75" s="1143" t="s">
        <v>118</v>
      </c>
      <c r="D75" s="1096" t="s">
        <v>119</v>
      </c>
      <c r="E75" s="1096"/>
      <c r="F75" s="1095" t="s">
        <v>120</v>
      </c>
      <c r="G75" s="1095"/>
      <c r="H75" s="1111" t="s">
        <v>729</v>
      </c>
      <c r="I75" s="449"/>
      <c r="J75" s="450"/>
      <c r="K75" s="451"/>
      <c r="L75" s="435"/>
      <c r="IV75" s="417"/>
    </row>
    <row r="76" spans="1:256" s="416" customFormat="1" ht="12.75" customHeight="1">
      <c r="A76" s="1142"/>
      <c r="B76" s="1143"/>
      <c r="C76" s="1143"/>
      <c r="D76" s="424" t="s">
        <v>39</v>
      </c>
      <c r="E76" s="425" t="s">
        <v>38</v>
      </c>
      <c r="F76" s="424" t="s">
        <v>39</v>
      </c>
      <c r="G76" s="425" t="s">
        <v>38</v>
      </c>
      <c r="H76" s="1111"/>
      <c r="I76" s="451"/>
      <c r="J76" s="451"/>
      <c r="K76" s="435"/>
      <c r="L76" s="435"/>
      <c r="IV76" s="417"/>
    </row>
    <row r="77" spans="1:256" s="416" customFormat="1" ht="12.75" customHeight="1">
      <c r="A77" s="1142"/>
      <c r="B77" s="1143"/>
      <c r="C77" s="443" t="s">
        <v>124</v>
      </c>
      <c r="D77" s="443" t="s">
        <v>125</v>
      </c>
      <c r="E77" s="439" t="s">
        <v>730</v>
      </c>
      <c r="F77" s="443" t="s">
        <v>649</v>
      </c>
      <c r="G77" s="439" t="s">
        <v>731</v>
      </c>
      <c r="H77" s="452" t="s">
        <v>650</v>
      </c>
      <c r="I77" s="451"/>
      <c r="J77" s="451"/>
      <c r="K77" s="451"/>
      <c r="L77" s="435"/>
      <c r="IV77" s="417"/>
    </row>
    <row r="78" spans="1:256" s="416" customFormat="1" ht="12.75" customHeight="1">
      <c r="A78" s="453" t="s">
        <v>732</v>
      </c>
      <c r="B78" s="454">
        <f>SUM(B79:B80)</f>
        <v>5015120</v>
      </c>
      <c r="C78" s="454">
        <f>SUM(C79:C80)</f>
        <v>4932217.35</v>
      </c>
      <c r="D78" s="454">
        <f>SUM(D79:D80)</f>
        <v>2287533.49</v>
      </c>
      <c r="E78" s="455">
        <f aca="true" t="shared" si="4" ref="E78:E84">IF($C78="",0,IF($C78=0,0,D78/$C78))</f>
        <v>0.4637941371338796</v>
      </c>
      <c r="F78" s="454">
        <f>SUM(F79:F80)</f>
        <v>2287533.49</v>
      </c>
      <c r="G78" s="455">
        <f aca="true" t="shared" si="5" ref="G78:G84">IF($C78="",0,IF($C78=0,0,F78/$C78))</f>
        <v>0.4637941371338796</v>
      </c>
      <c r="H78" s="456">
        <f>SUM(H79:H80)</f>
        <v>0</v>
      </c>
      <c r="IV78" s="417"/>
    </row>
    <row r="79" spans="1:256" s="416" customFormat="1" ht="12.75" customHeight="1">
      <c r="A79" s="457" t="s">
        <v>733</v>
      </c>
      <c r="B79" s="458">
        <v>572960</v>
      </c>
      <c r="C79" s="458">
        <v>572960</v>
      </c>
      <c r="D79" s="458">
        <v>304406.87</v>
      </c>
      <c r="E79" s="459">
        <f t="shared" si="4"/>
        <v>0.5312881702038537</v>
      </c>
      <c r="F79" s="458">
        <v>304406.87</v>
      </c>
      <c r="G79" s="459">
        <f t="shared" si="5"/>
        <v>0.5312881702038537</v>
      </c>
      <c r="H79" s="460">
        <v>0</v>
      </c>
      <c r="IV79" s="417"/>
    </row>
    <row r="80" spans="1:256" s="416" customFormat="1" ht="12.75" customHeight="1">
      <c r="A80" s="457" t="s">
        <v>734</v>
      </c>
      <c r="B80" s="458">
        <v>4442160</v>
      </c>
      <c r="C80" s="458">
        <v>4359257.35</v>
      </c>
      <c r="D80" s="458">
        <v>1983126.62</v>
      </c>
      <c r="E80" s="459">
        <f t="shared" si="4"/>
        <v>0.4549230432564391</v>
      </c>
      <c r="F80" s="458">
        <v>1983126.62</v>
      </c>
      <c r="G80" s="459">
        <f t="shared" si="5"/>
        <v>0.4549230432564391</v>
      </c>
      <c r="H80" s="460">
        <v>0</v>
      </c>
      <c r="IV80" s="417"/>
    </row>
    <row r="81" spans="1:256" s="416" customFormat="1" ht="12.75" customHeight="1">
      <c r="A81" s="457" t="s">
        <v>735</v>
      </c>
      <c r="B81" s="461">
        <f>SUM(B82:B83)</f>
        <v>3901880</v>
      </c>
      <c r="C81" s="461">
        <f>SUM(C82:C83)</f>
        <v>3984782.65</v>
      </c>
      <c r="D81" s="461">
        <f>SUM(D82:D83)</f>
        <v>1781011.19</v>
      </c>
      <c r="E81" s="459">
        <f t="shared" si="4"/>
        <v>0.44695315816033276</v>
      </c>
      <c r="F81" s="461">
        <f>SUM(F82:F83)</f>
        <v>1306669.31</v>
      </c>
      <c r="G81" s="459">
        <f t="shared" si="5"/>
        <v>0.32791482617000456</v>
      </c>
      <c r="H81" s="462">
        <f>SUM(H82:H83)</f>
        <v>474341.88</v>
      </c>
      <c r="IV81" s="417"/>
    </row>
    <row r="82" spans="1:256" s="416" customFormat="1" ht="12.75" customHeight="1">
      <c r="A82" s="457" t="s">
        <v>736</v>
      </c>
      <c r="B82" s="458">
        <v>231040</v>
      </c>
      <c r="C82" s="458">
        <v>260839.65</v>
      </c>
      <c r="D82" s="458">
        <v>128770.31</v>
      </c>
      <c r="E82" s="459">
        <f t="shared" si="4"/>
        <v>0.4936761339773305</v>
      </c>
      <c r="F82" s="458">
        <v>128770.31</v>
      </c>
      <c r="G82" s="459">
        <f t="shared" si="5"/>
        <v>0.4936761339773305</v>
      </c>
      <c r="H82" s="460">
        <v>0</v>
      </c>
      <c r="IV82" s="417"/>
    </row>
    <row r="83" spans="1:256" s="416" customFormat="1" ht="12.75" customHeight="1">
      <c r="A83" s="463" t="s">
        <v>737</v>
      </c>
      <c r="B83" s="464">
        <v>3670840</v>
      </c>
      <c r="C83" s="464">
        <v>3723943</v>
      </c>
      <c r="D83" s="464">
        <v>1652240.88</v>
      </c>
      <c r="E83" s="465">
        <f t="shared" si="4"/>
        <v>0.44368049672081444</v>
      </c>
      <c r="F83" s="464">
        <v>1177899</v>
      </c>
      <c r="G83" s="465">
        <f t="shared" si="5"/>
        <v>0.31630425062897044</v>
      </c>
      <c r="H83" s="466">
        <v>474341.88</v>
      </c>
      <c r="IV83" s="417"/>
    </row>
    <row r="84" spans="1:256" s="416" customFormat="1" ht="12.75" customHeight="1">
      <c r="A84" s="467" t="s">
        <v>738</v>
      </c>
      <c r="B84" s="468">
        <f>B78+B81</f>
        <v>8917000</v>
      </c>
      <c r="C84" s="468">
        <f>C78+C81</f>
        <v>8917000</v>
      </c>
      <c r="D84" s="468">
        <f>D78+D81</f>
        <v>4068544.68</v>
      </c>
      <c r="E84" s="51">
        <f t="shared" si="4"/>
        <v>0.4562683279129752</v>
      </c>
      <c r="F84" s="468">
        <f>F78+F81</f>
        <v>3594202.8000000003</v>
      </c>
      <c r="G84" s="51">
        <f t="shared" si="5"/>
        <v>0.4030730963328474</v>
      </c>
      <c r="H84" s="469">
        <f>H78+H81</f>
        <v>474341.88</v>
      </c>
      <c r="IV84" s="418">
        <f>IF($A$7=$IV$12,IF(D84&lt;&gt;(F84+H84),0,1),1)</f>
        <v>1</v>
      </c>
    </row>
    <row r="85" spans="1:256" s="470" customFormat="1" ht="12.75" customHeight="1">
      <c r="A85" s="1135" t="s">
        <v>739</v>
      </c>
      <c r="B85" s="1135"/>
      <c r="C85" s="1135"/>
      <c r="D85" s="1135"/>
      <c r="E85" s="1135"/>
      <c r="F85" s="1135"/>
      <c r="G85" s="1119" t="s">
        <v>453</v>
      </c>
      <c r="H85" s="1119"/>
      <c r="IV85" s="471"/>
    </row>
    <row r="86" spans="1:256" s="416" customFormat="1" ht="12.75" customHeight="1">
      <c r="A86" s="1136" t="s">
        <v>740</v>
      </c>
      <c r="B86" s="1136"/>
      <c r="C86" s="1136"/>
      <c r="D86" s="472"/>
      <c r="E86" s="472"/>
      <c r="F86" s="473"/>
      <c r="G86" s="1137">
        <f>SUM(G87:G88)</f>
        <v>0</v>
      </c>
      <c r="H86" s="1137"/>
      <c r="IV86" s="417"/>
    </row>
    <row r="87" spans="1:256" s="416" customFormat="1" ht="12.75" customHeight="1">
      <c r="A87" s="474" t="s">
        <v>741</v>
      </c>
      <c r="B87" s="474"/>
      <c r="C87" s="474"/>
      <c r="D87" s="474"/>
      <c r="E87" s="474"/>
      <c r="F87" s="475"/>
      <c r="G87" s="1131">
        <v>0</v>
      </c>
      <c r="H87" s="1131"/>
      <c r="IV87" s="417"/>
    </row>
    <row r="88" spans="1:256" s="416" customFormat="1" ht="12.75" customHeight="1">
      <c r="A88" s="474" t="s">
        <v>742</v>
      </c>
      <c r="B88" s="474"/>
      <c r="C88" s="474"/>
      <c r="D88" s="474"/>
      <c r="E88" s="474"/>
      <c r="F88" s="475"/>
      <c r="G88" s="1131">
        <v>0</v>
      </c>
      <c r="H88" s="1131"/>
      <c r="IV88" s="417"/>
    </row>
    <row r="89" spans="1:256" s="416" customFormat="1" ht="12.75" customHeight="1">
      <c r="A89" s="1132" t="s">
        <v>743</v>
      </c>
      <c r="B89" s="1132"/>
      <c r="C89" s="1132"/>
      <c r="D89" s="1132"/>
      <c r="E89" s="474"/>
      <c r="F89" s="475"/>
      <c r="G89" s="1133">
        <f>SUM(G90:G91)</f>
        <v>0</v>
      </c>
      <c r="H89" s="1133"/>
      <c r="IV89" s="417"/>
    </row>
    <row r="90" spans="1:256" s="416" customFormat="1" ht="12.75" customHeight="1">
      <c r="A90" s="474" t="s">
        <v>744</v>
      </c>
      <c r="B90" s="474"/>
      <c r="C90" s="474"/>
      <c r="D90" s="474"/>
      <c r="E90" s="474"/>
      <c r="F90" s="475"/>
      <c r="G90" s="1131">
        <v>0</v>
      </c>
      <c r="H90" s="1131"/>
      <c r="IV90" s="417"/>
    </row>
    <row r="91" spans="1:256" s="416" customFormat="1" ht="12.75" customHeight="1">
      <c r="A91" s="476" t="s">
        <v>745</v>
      </c>
      <c r="B91" s="476"/>
      <c r="C91" s="476"/>
      <c r="D91" s="476"/>
      <c r="E91" s="476"/>
      <c r="F91" s="477"/>
      <c r="G91" s="1131">
        <v>0</v>
      </c>
      <c r="H91" s="1131"/>
      <c r="IV91" s="417"/>
    </row>
    <row r="92" spans="1:256" s="416" customFormat="1" ht="12.75" customHeight="1">
      <c r="A92" s="478" t="s">
        <v>746</v>
      </c>
      <c r="B92" s="478"/>
      <c r="C92" s="478"/>
      <c r="D92" s="478"/>
      <c r="E92" s="478"/>
      <c r="F92" s="479"/>
      <c r="G92" s="1134">
        <f>G86+G89</f>
        <v>0</v>
      </c>
      <c r="H92" s="1134"/>
      <c r="IV92" s="417"/>
    </row>
    <row r="93" spans="1:256" s="416" customFormat="1" ht="15.75" customHeight="1">
      <c r="A93" s="1105" t="s">
        <v>747</v>
      </c>
      <c r="B93" s="1105"/>
      <c r="C93" s="1105"/>
      <c r="D93" s="1105"/>
      <c r="E93" s="1105"/>
      <c r="F93" s="1105"/>
      <c r="G93" s="1119" t="s">
        <v>453</v>
      </c>
      <c r="H93" s="1119"/>
      <c r="IV93" s="417"/>
    </row>
    <row r="94" spans="1:256" s="416" customFormat="1" ht="12.75" customHeight="1">
      <c r="A94" s="480" t="s">
        <v>748</v>
      </c>
      <c r="B94" s="480"/>
      <c r="C94" s="480"/>
      <c r="D94" s="480"/>
      <c r="E94" s="480"/>
      <c r="F94" s="481"/>
      <c r="G94" s="1108">
        <f>F84-G92</f>
        <v>3594202.8000000003</v>
      </c>
      <c r="H94" s="1108"/>
      <c r="IV94" s="417"/>
    </row>
    <row r="95" spans="1:256" s="416" customFormat="1" ht="14.25" customHeight="1">
      <c r="A95" s="482" t="s">
        <v>749</v>
      </c>
      <c r="B95" s="482"/>
      <c r="C95" s="482"/>
      <c r="D95" s="482"/>
      <c r="E95" s="482"/>
      <c r="F95" s="483"/>
      <c r="G95" s="1128">
        <f>IF(F$68="",0,IF(F$68=0,0,(F78-(G87+G90))/F$68))</f>
        <v>0.5761483669608939</v>
      </c>
      <c r="H95" s="1128"/>
      <c r="IV95" s="417"/>
    </row>
    <row r="96" spans="1:256" s="416" customFormat="1" ht="12.75" customHeight="1">
      <c r="A96" s="482" t="s">
        <v>750</v>
      </c>
      <c r="B96" s="482"/>
      <c r="C96" s="482"/>
      <c r="D96" s="482"/>
      <c r="E96" s="482"/>
      <c r="F96" s="483"/>
      <c r="G96" s="1128">
        <f>IF(F$68="",0,IF(F$68=0,0,(F81-(G88+G91))/F$68))</f>
        <v>0.32910354860615304</v>
      </c>
      <c r="H96" s="1128"/>
      <c r="IV96" s="417"/>
    </row>
    <row r="97" spans="1:256" s="416" customFormat="1" ht="13.5" customHeight="1">
      <c r="A97" s="1129" t="s">
        <v>751</v>
      </c>
      <c r="B97" s="1129"/>
      <c r="C97" s="1129"/>
      <c r="D97" s="1129"/>
      <c r="E97" s="1129"/>
      <c r="F97" s="1129"/>
      <c r="G97" s="1130">
        <f>IF(G95+G96=0,0,1-G95-G96)</f>
        <v>0.09474808443295307</v>
      </c>
      <c r="H97" s="1130"/>
      <c r="IV97" s="417"/>
    </row>
    <row r="98" spans="1:256" s="484" customFormat="1" ht="16.5" customHeight="1">
      <c r="A98" s="1105" t="s">
        <v>752</v>
      </c>
      <c r="B98" s="1105"/>
      <c r="C98" s="1105"/>
      <c r="D98" s="1105"/>
      <c r="E98" s="1105"/>
      <c r="F98" s="1105"/>
      <c r="G98" s="1119" t="s">
        <v>453</v>
      </c>
      <c r="H98" s="1119"/>
      <c r="IV98" s="485"/>
    </row>
    <row r="99" spans="1:256" s="416" customFormat="1" ht="18.75" customHeight="1">
      <c r="A99" s="1124" t="s">
        <v>1152</v>
      </c>
      <c r="B99" s="1124"/>
      <c r="C99" s="1124"/>
      <c r="D99" s="1124"/>
      <c r="E99" s="1124"/>
      <c r="F99" s="1124"/>
      <c r="G99" s="1125"/>
      <c r="H99" s="1125"/>
      <c r="IV99" s="417"/>
    </row>
    <row r="100" spans="1:256" s="416" customFormat="1" ht="18.75" customHeight="1">
      <c r="A100" s="1126" t="s">
        <v>1153</v>
      </c>
      <c r="B100" s="1126"/>
      <c r="C100" s="1126"/>
      <c r="D100" s="1126"/>
      <c r="E100" s="1126"/>
      <c r="F100" s="1126"/>
      <c r="G100" s="1127"/>
      <c r="H100" s="1127"/>
      <c r="IV100" s="417"/>
    </row>
    <row r="101" spans="1:256" s="416" customFormat="1" ht="12.75" customHeight="1">
      <c r="A101" s="1123" t="s">
        <v>753</v>
      </c>
      <c r="B101" s="1123"/>
      <c r="C101" s="1123"/>
      <c r="D101" s="1123"/>
      <c r="E101" s="1123"/>
      <c r="F101" s="1123"/>
      <c r="G101" s="1123"/>
      <c r="H101" s="1123"/>
      <c r="IV101" s="417"/>
    </row>
    <row r="102" spans="1:256" s="416" customFormat="1" ht="44.25" customHeight="1">
      <c r="A102" s="1105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10" t="s">
        <v>117</v>
      </c>
      <c r="C102" s="1110" t="s">
        <v>118</v>
      </c>
      <c r="D102" s="1096" t="str">
        <f>IF(IV119=0,"ERRO!!!","DESPESAS EMPENHADAS")</f>
        <v>DESPESAS EMPENHADAS</v>
      </c>
      <c r="E102" s="1096"/>
      <c r="F102" s="1095" t="str">
        <f>IF(IV119=0,"ERRO!!!","DESPESAS LIQUIDADAS")</f>
        <v>DESPESAS LIQUIDADAS</v>
      </c>
      <c r="G102" s="1095"/>
      <c r="H102" s="1111" t="s">
        <v>729</v>
      </c>
      <c r="I102" s="449"/>
      <c r="J102" s="450"/>
      <c r="K102" s="451"/>
      <c r="L102" s="435"/>
      <c r="IV102" s="417"/>
    </row>
    <row r="103" spans="1:256" s="416" customFormat="1" ht="12.75" customHeight="1">
      <c r="A103" s="1105"/>
      <c r="B103" s="1110"/>
      <c r="C103" s="1110"/>
      <c r="D103" s="424" t="s">
        <v>39</v>
      </c>
      <c r="E103" s="425" t="s">
        <v>38</v>
      </c>
      <c r="F103" s="424" t="s">
        <v>39</v>
      </c>
      <c r="G103" s="425" t="s">
        <v>38</v>
      </c>
      <c r="H103" s="1111"/>
      <c r="I103" s="451"/>
      <c r="J103" s="451"/>
      <c r="K103" s="435"/>
      <c r="L103" s="435"/>
      <c r="IV103" s="417"/>
    </row>
    <row r="104" spans="1:256" s="416" customFormat="1" ht="12.75" customHeight="1">
      <c r="A104" s="1105"/>
      <c r="B104" s="1110"/>
      <c r="C104" s="428" t="s">
        <v>124</v>
      </c>
      <c r="D104" s="428" t="s">
        <v>125</v>
      </c>
      <c r="E104" s="439" t="s">
        <v>730</v>
      </c>
      <c r="F104" s="428" t="s">
        <v>649</v>
      </c>
      <c r="G104" s="429" t="s">
        <v>731</v>
      </c>
      <c r="H104" s="452" t="s">
        <v>650</v>
      </c>
      <c r="I104" s="451"/>
      <c r="J104" s="451"/>
      <c r="K104" s="451"/>
      <c r="L104" s="435"/>
      <c r="IV104" s="417"/>
    </row>
    <row r="105" spans="1:256" s="416" customFormat="1" ht="12.75" customHeight="1">
      <c r="A105" s="445" t="s">
        <v>754</v>
      </c>
      <c r="B105" s="486">
        <f>B106+B109</f>
        <v>881000</v>
      </c>
      <c r="C105" s="486">
        <f>C106+C109</f>
        <v>881000</v>
      </c>
      <c r="D105" s="487">
        <f>D106+D109</f>
        <v>433177.18</v>
      </c>
      <c r="E105" s="488">
        <f aca="true" t="shared" si="6" ref="E105:E119">IF($C105="",0,IF($C105=0,0,D105/$C105))</f>
        <v>0.49168805902383655</v>
      </c>
      <c r="F105" s="489">
        <f>F106+F109</f>
        <v>433177.18</v>
      </c>
      <c r="G105" s="488">
        <f aca="true" t="shared" si="7" ref="G105:G119">IF($C105="",0,IF($C105=0,0,F105/$C105))</f>
        <v>0.49168805902383655</v>
      </c>
      <c r="H105" s="487">
        <f>H106+H109</f>
        <v>0</v>
      </c>
      <c r="I105" s="435"/>
      <c r="J105" s="435"/>
      <c r="K105" s="435"/>
      <c r="L105" s="435"/>
      <c r="IV105" s="417"/>
    </row>
    <row r="106" spans="1:256" s="416" customFormat="1" ht="12.75" customHeight="1">
      <c r="A106" s="433" t="s">
        <v>755</v>
      </c>
      <c r="B106" s="461">
        <f>SUM(B107:B108)</f>
        <v>0</v>
      </c>
      <c r="C106" s="461">
        <f>SUM(C107:C108)</f>
        <v>0</v>
      </c>
      <c r="D106" s="462">
        <f>SUM(D107:D108)</f>
        <v>0</v>
      </c>
      <c r="E106" s="51">
        <f t="shared" si="6"/>
        <v>0</v>
      </c>
      <c r="F106" s="490">
        <f>SUM(F107:F108)</f>
        <v>0</v>
      </c>
      <c r="G106" s="51">
        <f t="shared" si="7"/>
        <v>0</v>
      </c>
      <c r="H106" s="462">
        <f>SUM(H107:H108)</f>
        <v>0</v>
      </c>
      <c r="I106" s="435"/>
      <c r="J106" s="435"/>
      <c r="K106" s="435"/>
      <c r="L106" s="435"/>
      <c r="IV106" s="417"/>
    </row>
    <row r="107" spans="1:256" s="416" customFormat="1" ht="12.75" customHeight="1">
      <c r="A107" s="433" t="s">
        <v>756</v>
      </c>
      <c r="B107" s="458">
        <v>0</v>
      </c>
      <c r="C107" s="458">
        <v>0</v>
      </c>
      <c r="D107" s="491">
        <v>0</v>
      </c>
      <c r="E107" s="51">
        <f t="shared" si="6"/>
        <v>0</v>
      </c>
      <c r="F107" s="492">
        <v>0</v>
      </c>
      <c r="G107" s="51">
        <f t="shared" si="7"/>
        <v>0</v>
      </c>
      <c r="H107" s="460">
        <v>0</v>
      </c>
      <c r="IV107" s="417"/>
    </row>
    <row r="108" spans="1:256" s="416" customFormat="1" ht="12.75" customHeight="1">
      <c r="A108" s="433" t="s">
        <v>757</v>
      </c>
      <c r="B108" s="458">
        <v>0</v>
      </c>
      <c r="C108" s="458">
        <v>0</v>
      </c>
      <c r="D108" s="491">
        <v>0</v>
      </c>
      <c r="E108" s="51">
        <f t="shared" si="6"/>
        <v>0</v>
      </c>
      <c r="F108" s="492">
        <v>0</v>
      </c>
      <c r="G108" s="51">
        <f t="shared" si="7"/>
        <v>0</v>
      </c>
      <c r="H108" s="460">
        <v>0</v>
      </c>
      <c r="IV108" s="417"/>
    </row>
    <row r="109" spans="1:256" s="416" customFormat="1" ht="12.75" customHeight="1">
      <c r="A109" s="433" t="s">
        <v>758</v>
      </c>
      <c r="B109" s="461">
        <f>SUM(B110:B111)</f>
        <v>881000</v>
      </c>
      <c r="C109" s="461">
        <f>SUM(C110:C111)</f>
        <v>881000</v>
      </c>
      <c r="D109" s="462">
        <f>SUM(D110:D111)</f>
        <v>433177.18</v>
      </c>
      <c r="E109" s="51">
        <f t="shared" si="6"/>
        <v>0.49168805902383655</v>
      </c>
      <c r="F109" s="490">
        <f>SUM(F110:F111)</f>
        <v>433177.18</v>
      </c>
      <c r="G109" s="51">
        <f t="shared" si="7"/>
        <v>0.49168805902383655</v>
      </c>
      <c r="H109" s="462">
        <f>SUM(H110:H111)</f>
        <v>0</v>
      </c>
      <c r="IV109" s="417"/>
    </row>
    <row r="110" spans="1:256" s="416" customFormat="1" ht="12.75" customHeight="1">
      <c r="A110" s="433" t="s">
        <v>759</v>
      </c>
      <c r="B110" s="458">
        <v>804000</v>
      </c>
      <c r="C110" s="458">
        <v>804000</v>
      </c>
      <c r="D110" s="491">
        <v>433177.18</v>
      </c>
      <c r="E110" s="51">
        <f t="shared" si="6"/>
        <v>0.5387775870646766</v>
      </c>
      <c r="F110" s="492">
        <v>433177.18</v>
      </c>
      <c r="G110" s="51">
        <f t="shared" si="7"/>
        <v>0.5387775870646766</v>
      </c>
      <c r="H110" s="460">
        <v>0</v>
      </c>
      <c r="IV110" s="417"/>
    </row>
    <row r="111" spans="1:256" s="416" customFormat="1" ht="12.75" customHeight="1">
      <c r="A111" s="433" t="s">
        <v>760</v>
      </c>
      <c r="B111" s="458">
        <v>77000</v>
      </c>
      <c r="C111" s="458">
        <v>77000</v>
      </c>
      <c r="D111" s="491">
        <v>0</v>
      </c>
      <c r="E111" s="51">
        <f t="shared" si="6"/>
        <v>0</v>
      </c>
      <c r="F111" s="492">
        <v>0</v>
      </c>
      <c r="G111" s="51">
        <f t="shared" si="7"/>
        <v>0</v>
      </c>
      <c r="H111" s="460">
        <v>0</v>
      </c>
      <c r="IV111" s="417"/>
    </row>
    <row r="112" spans="1:256" s="416" customFormat="1" ht="12.75" customHeight="1">
      <c r="A112" s="433" t="s">
        <v>761</v>
      </c>
      <c r="B112" s="461">
        <f>SUM(B113:B114)</f>
        <v>9293000</v>
      </c>
      <c r="C112" s="461">
        <f>SUM(C113:C114)</f>
        <v>9293000</v>
      </c>
      <c r="D112" s="462">
        <f>SUM(D113:D114)</f>
        <v>4092136.0300000003</v>
      </c>
      <c r="E112" s="51">
        <f t="shared" si="6"/>
        <v>0.4403460701603358</v>
      </c>
      <c r="F112" s="490">
        <f>SUM(F113:F114)</f>
        <v>3394902.4</v>
      </c>
      <c r="G112" s="51">
        <f t="shared" si="7"/>
        <v>0.365318239535134</v>
      </c>
      <c r="H112" s="462">
        <f>SUM(H113:H114)</f>
        <v>697233.63</v>
      </c>
      <c r="IV112" s="417"/>
    </row>
    <row r="113" spans="1:256" s="416" customFormat="1" ht="12.75" customHeight="1">
      <c r="A113" s="433" t="s">
        <v>762</v>
      </c>
      <c r="B113" s="458">
        <v>8113000</v>
      </c>
      <c r="C113" s="458">
        <v>8113000</v>
      </c>
      <c r="D113" s="491">
        <v>3635367.5</v>
      </c>
      <c r="E113" s="51">
        <f t="shared" si="6"/>
        <v>0.4480916430420313</v>
      </c>
      <c r="F113" s="492">
        <v>3161025.62</v>
      </c>
      <c r="G113" s="51">
        <f t="shared" si="7"/>
        <v>0.389624752865771</v>
      </c>
      <c r="H113" s="460">
        <v>474341.88</v>
      </c>
      <c r="IV113" s="417"/>
    </row>
    <row r="114" spans="1:256" s="416" customFormat="1" ht="12.75" customHeight="1">
      <c r="A114" s="433" t="s">
        <v>763</v>
      </c>
      <c r="B114" s="458">
        <v>1180000</v>
      </c>
      <c r="C114" s="458">
        <v>1180000</v>
      </c>
      <c r="D114" s="491">
        <v>456768.53</v>
      </c>
      <c r="E114" s="51">
        <f t="shared" si="6"/>
        <v>0.3870919745762712</v>
      </c>
      <c r="F114" s="492">
        <v>233876.78</v>
      </c>
      <c r="G114" s="51">
        <f t="shared" si="7"/>
        <v>0.19820066101694916</v>
      </c>
      <c r="H114" s="460">
        <v>222891.75</v>
      </c>
      <c r="IV114" s="417"/>
    </row>
    <row r="115" spans="1:256" s="416" customFormat="1" ht="12.75" customHeight="1">
      <c r="A115" s="433" t="s">
        <v>764</v>
      </c>
      <c r="B115" s="493">
        <v>88000</v>
      </c>
      <c r="C115" s="493">
        <v>88000</v>
      </c>
      <c r="D115" s="460">
        <v>0</v>
      </c>
      <c r="E115" s="51">
        <f t="shared" si="6"/>
        <v>0</v>
      </c>
      <c r="F115" s="494">
        <v>0</v>
      </c>
      <c r="G115" s="51">
        <f t="shared" si="7"/>
        <v>0</v>
      </c>
      <c r="H115" s="460">
        <v>0</v>
      </c>
      <c r="IV115" s="417"/>
    </row>
    <row r="116" spans="1:256" s="416" customFormat="1" ht="12.75" customHeight="1">
      <c r="A116" s="433" t="s">
        <v>765</v>
      </c>
      <c r="B116" s="493">
        <v>17000</v>
      </c>
      <c r="C116" s="493">
        <v>17000</v>
      </c>
      <c r="D116" s="460">
        <v>0</v>
      </c>
      <c r="E116" s="51">
        <f t="shared" si="6"/>
        <v>0</v>
      </c>
      <c r="F116" s="494">
        <v>0</v>
      </c>
      <c r="G116" s="51">
        <f t="shared" si="7"/>
        <v>0</v>
      </c>
      <c r="H116" s="460">
        <v>0</v>
      </c>
      <c r="IV116" s="417"/>
    </row>
    <row r="117" spans="1:256" s="416" customFormat="1" ht="12.75" customHeight="1">
      <c r="A117" s="433" t="s">
        <v>766</v>
      </c>
      <c r="B117" s="493">
        <v>0</v>
      </c>
      <c r="C117" s="493">
        <v>0</v>
      </c>
      <c r="D117" s="460">
        <v>0</v>
      </c>
      <c r="E117" s="51">
        <f t="shared" si="6"/>
        <v>0</v>
      </c>
      <c r="F117" s="494">
        <v>0</v>
      </c>
      <c r="G117" s="51">
        <f t="shared" si="7"/>
        <v>0</v>
      </c>
      <c r="H117" s="460">
        <v>0</v>
      </c>
      <c r="IV117" s="417"/>
    </row>
    <row r="118" spans="1:256" s="416" customFormat="1" ht="12.75" customHeight="1">
      <c r="A118" s="467" t="s">
        <v>767</v>
      </c>
      <c r="B118" s="493">
        <v>198000</v>
      </c>
      <c r="C118" s="493">
        <v>198000</v>
      </c>
      <c r="D118" s="460">
        <v>0</v>
      </c>
      <c r="E118" s="495">
        <f t="shared" si="6"/>
        <v>0</v>
      </c>
      <c r="F118" s="494">
        <v>0</v>
      </c>
      <c r="G118" s="495">
        <f t="shared" si="7"/>
        <v>0</v>
      </c>
      <c r="H118" s="460">
        <v>0</v>
      </c>
      <c r="IV118" s="417"/>
    </row>
    <row r="119" spans="1:256" s="416" customFormat="1" ht="12.75" customHeight="1">
      <c r="A119" s="467" t="s">
        <v>768</v>
      </c>
      <c r="B119" s="496">
        <f>SUM(B105,B112,B115:B118)</f>
        <v>10477000</v>
      </c>
      <c r="C119" s="496">
        <f>SUM(C105,C112,C115:C118)</f>
        <v>10477000</v>
      </c>
      <c r="D119" s="496">
        <f>SUM(D105,D112,D115:D118)</f>
        <v>4525313.21</v>
      </c>
      <c r="E119" s="497">
        <f t="shared" si="6"/>
        <v>0.4319283392192421</v>
      </c>
      <c r="F119" s="496">
        <f>SUM(F105,F112,F115:F118)</f>
        <v>3828079.58</v>
      </c>
      <c r="G119" s="497">
        <f t="shared" si="7"/>
        <v>0.3653793624129045</v>
      </c>
      <c r="H119" s="498">
        <f>SUM(H105,H112,H115:H118)</f>
        <v>697233.63</v>
      </c>
      <c r="IV119" s="418">
        <f>IF($A$7=$IV$12,IF(D119&lt;&gt;(F119+H119),0,1),1)</f>
        <v>1</v>
      </c>
    </row>
    <row r="120" spans="1:256" s="416" customFormat="1" ht="12.75" customHeight="1">
      <c r="A120" s="1105" t="s">
        <v>769</v>
      </c>
      <c r="B120" s="1105"/>
      <c r="C120" s="1105"/>
      <c r="D120" s="1105"/>
      <c r="E120" s="1105"/>
      <c r="F120" s="1105"/>
      <c r="G120" s="1119" t="s">
        <v>453</v>
      </c>
      <c r="H120" s="1119"/>
      <c r="IV120" s="417"/>
    </row>
    <row r="121" spans="1:256" s="416" customFormat="1" ht="12.75" customHeight="1">
      <c r="A121" s="1105"/>
      <c r="B121" s="1105"/>
      <c r="C121" s="1105"/>
      <c r="D121" s="1105"/>
      <c r="E121" s="1105"/>
      <c r="F121" s="1105"/>
      <c r="G121" s="1119"/>
      <c r="H121" s="1119"/>
      <c r="IV121" s="417"/>
    </row>
    <row r="122" spans="1:256" s="416" customFormat="1" ht="12.75" customHeight="1">
      <c r="A122" s="1105"/>
      <c r="B122" s="1105"/>
      <c r="C122" s="1105"/>
      <c r="D122" s="1105"/>
      <c r="E122" s="1105"/>
      <c r="F122" s="1105"/>
      <c r="G122" s="1119"/>
      <c r="H122" s="1119"/>
      <c r="IV122" s="417"/>
    </row>
    <row r="123" spans="1:256" s="470" customFormat="1" ht="12.75" customHeight="1">
      <c r="A123" s="499" t="s">
        <v>770</v>
      </c>
      <c r="B123" s="499"/>
      <c r="C123" s="499"/>
      <c r="D123" s="499"/>
      <c r="E123" s="499"/>
      <c r="F123" s="500"/>
      <c r="G123" s="1120">
        <f>F72</f>
        <v>971813.25</v>
      </c>
      <c r="H123" s="1120"/>
      <c r="IV123" s="471"/>
    </row>
    <row r="124" spans="1:256" s="470" customFormat="1" ht="12.75" customHeight="1">
      <c r="A124" s="501" t="s">
        <v>771</v>
      </c>
      <c r="B124" s="501"/>
      <c r="C124" s="501"/>
      <c r="D124" s="501"/>
      <c r="E124" s="501"/>
      <c r="F124" s="500"/>
      <c r="G124" s="939">
        <v>2064442.69</v>
      </c>
      <c r="H124" s="939"/>
      <c r="IV124" s="471"/>
    </row>
    <row r="125" spans="1:256" s="470" customFormat="1" ht="12.75" customHeight="1" hidden="1">
      <c r="A125" s="1121"/>
      <c r="B125" s="1121"/>
      <c r="C125" s="1121"/>
      <c r="D125" s="501"/>
      <c r="E125" s="501"/>
      <c r="F125" s="502"/>
      <c r="G125" s="1122"/>
      <c r="H125" s="1122"/>
      <c r="IV125" s="471"/>
    </row>
    <row r="126" spans="1:256" s="470" customFormat="1" ht="12.75" customHeight="1">
      <c r="A126" s="1118" t="s">
        <v>772</v>
      </c>
      <c r="B126" s="1118"/>
      <c r="C126" s="1118"/>
      <c r="D126" s="501"/>
      <c r="E126" s="501"/>
      <c r="F126" s="502"/>
      <c r="G126" s="939">
        <v>0</v>
      </c>
      <c r="H126" s="939"/>
      <c r="IV126" s="471"/>
    </row>
    <row r="127" spans="1:256" s="470" customFormat="1" ht="26.25" customHeight="1">
      <c r="A127" s="1118" t="s">
        <v>773</v>
      </c>
      <c r="B127" s="1118"/>
      <c r="C127" s="1118"/>
      <c r="D127" s="501"/>
      <c r="E127" s="501"/>
      <c r="F127" s="502"/>
      <c r="G127" s="939">
        <v>0</v>
      </c>
      <c r="H127" s="939"/>
      <c r="IV127" s="471"/>
    </row>
    <row r="128" spans="1:256" s="470" customFormat="1" ht="26.25" customHeight="1">
      <c r="A128" s="1118" t="s">
        <v>774</v>
      </c>
      <c r="B128" s="1118"/>
      <c r="C128" s="1118"/>
      <c r="D128" s="1118"/>
      <c r="E128" s="501"/>
      <c r="F128" s="502"/>
      <c r="G128" s="939">
        <v>0</v>
      </c>
      <c r="H128" s="939"/>
      <c r="IV128" s="471"/>
    </row>
    <row r="129" spans="1:256" s="470" customFormat="1" ht="26.25" customHeight="1">
      <c r="A129" s="1112" t="s">
        <v>775</v>
      </c>
      <c r="B129" s="1112"/>
      <c r="C129" s="1112"/>
      <c r="D129" s="1112"/>
      <c r="E129" s="1112"/>
      <c r="F129" s="1112"/>
      <c r="G129" s="939">
        <v>0</v>
      </c>
      <c r="H129" s="939"/>
      <c r="IV129" s="471"/>
    </row>
    <row r="130" spans="1:256" s="416" customFormat="1" ht="15.75" customHeight="1">
      <c r="A130" s="1113" t="s">
        <v>776</v>
      </c>
      <c r="B130" s="1113"/>
      <c r="C130" s="1113"/>
      <c r="D130" s="1113"/>
      <c r="E130" s="1113"/>
      <c r="F130" s="1113"/>
      <c r="G130" s="1114">
        <f>SUM(G123:G129)</f>
        <v>3036255.94</v>
      </c>
      <c r="H130" s="1114"/>
      <c r="I130" s="435"/>
      <c r="J130" s="435"/>
      <c r="K130" s="435"/>
      <c r="L130" s="435"/>
      <c r="IV130" s="417"/>
    </row>
    <row r="131" spans="1:256" s="416" customFormat="1" ht="18.75" customHeight="1">
      <c r="A131" s="478" t="s">
        <v>777</v>
      </c>
      <c r="B131" s="478"/>
      <c r="C131" s="478"/>
      <c r="D131" s="478"/>
      <c r="E131" s="478"/>
      <c r="F131" s="479"/>
      <c r="G131" s="1115">
        <f>IF($A$7=$IV$12,(F105+F112+H105+H112-G130),(F105+F112-G130))</f>
        <v>791823.6400000001</v>
      </c>
      <c r="H131" s="1115"/>
      <c r="I131" s="435"/>
      <c r="J131" s="435"/>
      <c r="K131" s="435"/>
      <c r="L131" s="435"/>
      <c r="IV131" s="417"/>
    </row>
    <row r="132" spans="1:256" s="504" customFormat="1" ht="16.5" customHeight="1">
      <c r="A132" s="1116" t="s">
        <v>778</v>
      </c>
      <c r="B132" s="1116"/>
      <c r="C132" s="1116"/>
      <c r="D132" s="1116"/>
      <c r="E132" s="1116"/>
      <c r="F132" s="1116"/>
      <c r="G132" s="1117">
        <f>IF(IV14=1,"Erro planilha INFORMAÇÕES INICIAIS!",IF(IV119=0,"VERIFIQUE ERRO ACIMA!",IF(F39="",0,IF(F39=0,0,(G131/F39)))))</f>
        <v>0.15764930787370243</v>
      </c>
      <c r="H132" s="1117"/>
      <c r="I132" s="500"/>
      <c r="J132" s="500"/>
      <c r="K132" s="500"/>
      <c r="L132" s="503"/>
      <c r="IV132" s="505"/>
    </row>
    <row r="133" spans="1:256" s="416" customFormat="1" ht="12.75" customHeight="1">
      <c r="A133" s="1109" t="s">
        <v>779</v>
      </c>
      <c r="B133" s="1109"/>
      <c r="C133" s="1109"/>
      <c r="D133" s="1109"/>
      <c r="E133" s="1109"/>
      <c r="F133" s="1109"/>
      <c r="G133" s="1109"/>
      <c r="H133" s="1109"/>
      <c r="I133" s="448"/>
      <c r="J133" s="448"/>
      <c r="K133" s="448"/>
      <c r="L133" s="435"/>
      <c r="IV133" s="417"/>
    </row>
    <row r="134" spans="1:256" s="416" customFormat="1" ht="44.25" customHeight="1">
      <c r="A134" s="1105" t="s">
        <v>780</v>
      </c>
      <c r="B134" s="1110" t="s">
        <v>117</v>
      </c>
      <c r="C134" s="1110" t="s">
        <v>118</v>
      </c>
      <c r="D134" s="1096" t="s">
        <v>119</v>
      </c>
      <c r="E134" s="1096"/>
      <c r="F134" s="1095" t="s">
        <v>120</v>
      </c>
      <c r="G134" s="1095"/>
      <c r="H134" s="1111" t="s">
        <v>729</v>
      </c>
      <c r="I134" s="449"/>
      <c r="J134" s="450"/>
      <c r="K134" s="451"/>
      <c r="L134" s="435"/>
      <c r="IV134" s="417"/>
    </row>
    <row r="135" spans="1:256" s="416" customFormat="1" ht="12.75" customHeight="1">
      <c r="A135" s="1105"/>
      <c r="B135" s="1110"/>
      <c r="C135" s="1110"/>
      <c r="D135" s="424" t="s">
        <v>39</v>
      </c>
      <c r="E135" s="425" t="s">
        <v>38</v>
      </c>
      <c r="F135" s="424" t="s">
        <v>39</v>
      </c>
      <c r="G135" s="425" t="s">
        <v>38</v>
      </c>
      <c r="H135" s="1111"/>
      <c r="I135" s="451"/>
      <c r="J135" s="451"/>
      <c r="K135" s="435"/>
      <c r="L135" s="435"/>
      <c r="IV135" s="417"/>
    </row>
    <row r="136" spans="1:256" s="416" customFormat="1" ht="12.75" customHeight="1">
      <c r="A136" s="1105"/>
      <c r="B136" s="1110"/>
      <c r="C136" s="428" t="s">
        <v>124</v>
      </c>
      <c r="D136" s="428" t="s">
        <v>125</v>
      </c>
      <c r="E136" s="429" t="s">
        <v>730</v>
      </c>
      <c r="F136" s="428" t="s">
        <v>649</v>
      </c>
      <c r="G136" s="429" t="s">
        <v>731</v>
      </c>
      <c r="H136" s="452" t="s">
        <v>650</v>
      </c>
      <c r="I136" s="451"/>
      <c r="J136" s="451"/>
      <c r="K136" s="451"/>
      <c r="L136" s="435"/>
      <c r="IV136" s="417"/>
    </row>
    <row r="137" spans="1:256" s="416" customFormat="1" ht="25.5" customHeight="1">
      <c r="A137" s="440" t="s">
        <v>781</v>
      </c>
      <c r="B137" s="506">
        <v>0</v>
      </c>
      <c r="C137" s="57">
        <v>0</v>
      </c>
      <c r="D137" s="506">
        <v>0</v>
      </c>
      <c r="E137" s="58">
        <f aca="true" t="shared" si="8" ref="E137:E142">IF($C137="",0,IF($C137=0,0,D137/$C137))</f>
        <v>0</v>
      </c>
      <c r="F137" s="507">
        <v>0</v>
      </c>
      <c r="G137" s="58">
        <f aca="true" t="shared" si="9" ref="G137:G142">IF($C137="",0,IF($C137=0,0,F137/$C137))</f>
        <v>0</v>
      </c>
      <c r="H137" s="508">
        <v>0</v>
      </c>
      <c r="I137" s="435"/>
      <c r="J137" s="435"/>
      <c r="K137" s="435"/>
      <c r="L137" s="435"/>
      <c r="IV137" s="417"/>
    </row>
    <row r="138" spans="1:256" s="416" customFormat="1" ht="14.25" customHeight="1">
      <c r="A138" s="440" t="s">
        <v>782</v>
      </c>
      <c r="B138" s="168">
        <v>0</v>
      </c>
      <c r="C138" s="98">
        <v>0</v>
      </c>
      <c r="D138" s="98">
        <v>0</v>
      </c>
      <c r="E138" s="51">
        <f t="shared" si="8"/>
        <v>0</v>
      </c>
      <c r="F138" s="458">
        <v>0</v>
      </c>
      <c r="G138" s="51">
        <f t="shared" si="9"/>
        <v>0</v>
      </c>
      <c r="H138" s="109">
        <v>0</v>
      </c>
      <c r="IV138" s="417"/>
    </row>
    <row r="139" spans="1:256" s="416" customFormat="1" ht="12.75" customHeight="1">
      <c r="A139" s="509" t="s">
        <v>783</v>
      </c>
      <c r="B139" s="99">
        <v>0</v>
      </c>
      <c r="C139" s="99">
        <v>0</v>
      </c>
      <c r="D139" s="99">
        <v>0</v>
      </c>
      <c r="E139" s="51">
        <f t="shared" si="8"/>
        <v>0</v>
      </c>
      <c r="F139" s="458">
        <v>0</v>
      </c>
      <c r="G139" s="51">
        <f t="shared" si="9"/>
        <v>0</v>
      </c>
      <c r="H139" s="109">
        <v>0</v>
      </c>
      <c r="IV139" s="417"/>
    </row>
    <row r="140" spans="1:256" s="416" customFormat="1" ht="12.75" customHeight="1">
      <c r="A140" s="510" t="s">
        <v>784</v>
      </c>
      <c r="B140" s="168">
        <v>0</v>
      </c>
      <c r="C140" s="98">
        <v>0</v>
      </c>
      <c r="D140" s="98">
        <v>0</v>
      </c>
      <c r="E140" s="51">
        <f t="shared" si="8"/>
        <v>0</v>
      </c>
      <c r="F140" s="458">
        <v>0</v>
      </c>
      <c r="G140" s="51">
        <f t="shared" si="9"/>
        <v>0</v>
      </c>
      <c r="H140" s="258">
        <v>0</v>
      </c>
      <c r="IV140" s="417"/>
    </row>
    <row r="141" spans="1:256" s="416" customFormat="1" ht="25.5" customHeight="1">
      <c r="A141" s="510" t="s">
        <v>785</v>
      </c>
      <c r="B141" s="511">
        <f>SUM(B137:B140)</f>
        <v>0</v>
      </c>
      <c r="C141" s="511">
        <f>SUM(C137:C140)</f>
        <v>0</v>
      </c>
      <c r="D141" s="511">
        <f>SUM(D137:D140)</f>
        <v>0</v>
      </c>
      <c r="E141" s="512">
        <f t="shared" si="8"/>
        <v>0</v>
      </c>
      <c r="F141" s="511">
        <f>SUM(F137:F140)</f>
        <v>0</v>
      </c>
      <c r="G141" s="512">
        <f t="shared" si="9"/>
        <v>0</v>
      </c>
      <c r="H141" s="513">
        <f>SUM(H137:H140)</f>
        <v>0</v>
      </c>
      <c r="IV141" s="417"/>
    </row>
    <row r="142" spans="1:256" s="416" customFormat="1" ht="12.75" customHeight="1">
      <c r="A142" s="510" t="s">
        <v>786</v>
      </c>
      <c r="B142" s="514">
        <f>B119+B141</f>
        <v>10477000</v>
      </c>
      <c r="C142" s="514">
        <f>C119+C141</f>
        <v>10477000</v>
      </c>
      <c r="D142" s="514">
        <f>D119+D141</f>
        <v>4525313.21</v>
      </c>
      <c r="E142" s="51">
        <f t="shared" si="8"/>
        <v>0.4319283392192421</v>
      </c>
      <c r="F142" s="514">
        <f>F119+F141</f>
        <v>3828079.58</v>
      </c>
      <c r="G142" s="51">
        <f t="shared" si="9"/>
        <v>0.3653793624129045</v>
      </c>
      <c r="H142" s="515">
        <f>H119+H141</f>
        <v>697233.63</v>
      </c>
      <c r="IV142" s="417"/>
    </row>
    <row r="143" spans="1:256" s="416" customFormat="1" ht="12.75" customHeight="1">
      <c r="A143" s="1105" t="s">
        <v>787</v>
      </c>
      <c r="B143" s="1105"/>
      <c r="C143" s="1095" t="s">
        <v>788</v>
      </c>
      <c r="D143" s="1095"/>
      <c r="E143" s="1095"/>
      <c r="F143" s="1106" t="s">
        <v>789</v>
      </c>
      <c r="G143" s="1106"/>
      <c r="H143" s="1106"/>
      <c r="IV143" s="417"/>
    </row>
    <row r="144" spans="1:256" s="416" customFormat="1" ht="12.75" customHeight="1">
      <c r="A144" s="1105"/>
      <c r="B144" s="1105"/>
      <c r="C144" s="1095"/>
      <c r="D144" s="1095"/>
      <c r="E144" s="1095"/>
      <c r="F144" s="1106"/>
      <c r="G144" s="1106"/>
      <c r="H144" s="1106"/>
      <c r="IV144" s="417"/>
    </row>
    <row r="145" spans="1:256" s="416" customFormat="1" ht="12.75" customHeight="1">
      <c r="A145" s="1105"/>
      <c r="B145" s="1105"/>
      <c r="C145" s="1095"/>
      <c r="D145" s="1095"/>
      <c r="E145" s="1095"/>
      <c r="F145" s="1106"/>
      <c r="G145" s="1106"/>
      <c r="H145" s="1106"/>
      <c r="IV145" s="417"/>
    </row>
    <row r="146" spans="1:256" s="416" customFormat="1" ht="12.75" customHeight="1">
      <c r="A146" s="1107" t="s">
        <v>790</v>
      </c>
      <c r="B146" s="1107"/>
      <c r="C146" s="968">
        <f>SUM(C147:E148)</f>
        <v>0</v>
      </c>
      <c r="D146" s="968"/>
      <c r="E146" s="968"/>
      <c r="F146" s="1108">
        <f>SUM(F147:H148)</f>
        <v>251895.21</v>
      </c>
      <c r="G146" s="1108"/>
      <c r="H146" s="1108"/>
      <c r="IV146" s="417"/>
    </row>
    <row r="147" spans="1:256" s="416" customFormat="1" ht="12.75" customHeight="1">
      <c r="A147" s="1100" t="s">
        <v>791</v>
      </c>
      <c r="B147" s="1100"/>
      <c r="C147" s="920">
        <v>0</v>
      </c>
      <c r="D147" s="920"/>
      <c r="E147" s="920"/>
      <c r="F147" s="1101">
        <v>251895.21</v>
      </c>
      <c r="G147" s="1101"/>
      <c r="H147" s="1101"/>
      <c r="IV147" s="417"/>
    </row>
    <row r="148" spans="1:256" s="416" customFormat="1" ht="12.75" customHeight="1">
      <c r="A148" s="1102" t="s">
        <v>792</v>
      </c>
      <c r="B148" s="1102"/>
      <c r="C148" s="1103">
        <v>0</v>
      </c>
      <c r="D148" s="1103"/>
      <c r="E148" s="1103"/>
      <c r="F148" s="1104"/>
      <c r="G148" s="1104"/>
      <c r="H148" s="1104"/>
      <c r="IV148" s="417"/>
    </row>
    <row r="149" spans="1:256" s="416" customFormat="1" ht="12.75" customHeight="1">
      <c r="A149" s="1094" t="s">
        <v>793</v>
      </c>
      <c r="B149" s="1094"/>
      <c r="C149" s="1095" t="s">
        <v>711</v>
      </c>
      <c r="D149" s="1095"/>
      <c r="E149" s="1095"/>
      <c r="F149" s="1096" t="s">
        <v>794</v>
      </c>
      <c r="G149" s="1096"/>
      <c r="H149" s="1096"/>
      <c r="IV149" s="417"/>
    </row>
    <row r="150" spans="1:256" s="416" customFormat="1" ht="25.5" customHeight="1">
      <c r="A150" s="1094"/>
      <c r="B150" s="1094"/>
      <c r="C150" s="1095"/>
      <c r="D150" s="1095"/>
      <c r="E150" s="1095"/>
      <c r="F150" s="1096"/>
      <c r="G150" s="1096"/>
      <c r="H150" s="1096"/>
      <c r="IV150" s="417"/>
    </row>
    <row r="151" spans="1:256" s="416" customFormat="1" ht="15" customHeight="1">
      <c r="A151" s="1097" t="s">
        <v>795</v>
      </c>
      <c r="B151" s="1097"/>
      <c r="C151" s="1098">
        <v>236707.99</v>
      </c>
      <c r="D151" s="1098"/>
      <c r="E151" s="1098"/>
      <c r="F151" s="1099">
        <v>2407.2</v>
      </c>
      <c r="G151" s="1099"/>
      <c r="H151" s="1099"/>
      <c r="IV151" s="417"/>
    </row>
    <row r="152" spans="1:256" s="416" customFormat="1" ht="12.75" customHeight="1">
      <c r="A152" s="1090" t="s">
        <v>796</v>
      </c>
      <c r="B152" s="1090"/>
      <c r="C152" s="1093">
        <v>3970389.61</v>
      </c>
      <c r="D152" s="1093"/>
      <c r="E152" s="1093"/>
      <c r="F152" s="1083">
        <v>52258.08</v>
      </c>
      <c r="G152" s="1083"/>
      <c r="H152" s="1083"/>
      <c r="IV152" s="417"/>
    </row>
    <row r="153" spans="1:256" s="416" customFormat="1" ht="12.75" customHeight="1">
      <c r="A153" s="1090" t="s">
        <v>797</v>
      </c>
      <c r="B153" s="1090"/>
      <c r="C153" s="1088">
        <f>+C154+C155</f>
        <v>3663697.44</v>
      </c>
      <c r="D153" s="1088"/>
      <c r="E153" s="1088"/>
      <c r="F153" s="1089">
        <f>+F154+F155</f>
        <v>16475.15</v>
      </c>
      <c r="G153" s="1089"/>
      <c r="H153" s="1089"/>
      <c r="IV153" s="417"/>
    </row>
    <row r="154" spans="1:256" s="416" customFormat="1" ht="12.75" customHeight="1">
      <c r="A154" s="1090" t="s">
        <v>798</v>
      </c>
      <c r="B154" s="1090"/>
      <c r="C154" s="1091">
        <v>3594202.8</v>
      </c>
      <c r="D154" s="1091"/>
      <c r="E154" s="1091"/>
      <c r="F154" s="1092">
        <v>13445.65</v>
      </c>
      <c r="G154" s="1092"/>
      <c r="H154" s="1092"/>
      <c r="IV154" s="417"/>
    </row>
    <row r="155" spans="1:256" s="416" customFormat="1" ht="12.75" customHeight="1">
      <c r="A155" s="1090" t="s">
        <v>799</v>
      </c>
      <c r="B155" s="1090"/>
      <c r="C155" s="1093">
        <v>69494.64</v>
      </c>
      <c r="D155" s="1093"/>
      <c r="E155" s="1093"/>
      <c r="F155" s="1083">
        <v>3029.5</v>
      </c>
      <c r="G155" s="1083"/>
      <c r="H155" s="1083"/>
      <c r="IV155" s="417"/>
    </row>
    <row r="156" spans="1:256" s="416" customFormat="1" ht="12.75" customHeight="1">
      <c r="A156" s="1087" t="s">
        <v>800</v>
      </c>
      <c r="B156" s="1087"/>
      <c r="C156" s="1082">
        <v>523467.03</v>
      </c>
      <c r="D156" s="1082"/>
      <c r="E156" s="1082"/>
      <c r="F156" s="1083">
        <v>38179.68</v>
      </c>
      <c r="G156" s="1083"/>
      <c r="H156" s="1083"/>
      <c r="IV156" s="417"/>
    </row>
    <row r="157" spans="1:256" s="416" customFormat="1" ht="12.75" customHeight="1">
      <c r="A157" s="1087" t="s">
        <v>801</v>
      </c>
      <c r="B157" s="1087"/>
      <c r="C157" s="1088">
        <f>+C151+C152-ABS(C153)+C156</f>
        <v>1066867.1899999997</v>
      </c>
      <c r="D157" s="1088"/>
      <c r="E157" s="1088"/>
      <c r="F157" s="1089">
        <f>+F151+F152-ABS(F153)+F156</f>
        <v>76369.81</v>
      </c>
      <c r="G157" s="1089"/>
      <c r="H157" s="1089"/>
      <c r="IV157" s="417"/>
    </row>
    <row r="158" spans="1:256" s="416" customFormat="1" ht="12.75" customHeight="1">
      <c r="A158" s="1087" t="s">
        <v>802</v>
      </c>
      <c r="B158" s="1087"/>
      <c r="C158" s="1088">
        <f>+C159+C160</f>
        <v>805731.3</v>
      </c>
      <c r="D158" s="1088"/>
      <c r="E158" s="1088"/>
      <c r="F158" s="1089">
        <f>+F159+F160</f>
        <v>0</v>
      </c>
      <c r="G158" s="1089"/>
      <c r="H158" s="1089"/>
      <c r="IV158" s="417"/>
    </row>
    <row r="159" spans="1:256" s="416" customFormat="1" ht="12.75" customHeight="1">
      <c r="A159" s="1087" t="s">
        <v>803</v>
      </c>
      <c r="B159" s="1087"/>
      <c r="C159" s="1082">
        <v>805731.3</v>
      </c>
      <c r="D159" s="1082"/>
      <c r="E159" s="1082"/>
      <c r="F159" s="1083">
        <v>0</v>
      </c>
      <c r="G159" s="1083"/>
      <c r="H159" s="1083"/>
      <c r="IV159" s="417"/>
    </row>
    <row r="160" spans="1:256" s="416" customFormat="1" ht="12.75" customHeight="1">
      <c r="A160" s="1087" t="s">
        <v>804</v>
      </c>
      <c r="B160" s="1087"/>
      <c r="C160" s="1082">
        <v>0</v>
      </c>
      <c r="D160" s="1082"/>
      <c r="E160" s="1082"/>
      <c r="F160" s="1083">
        <v>0</v>
      </c>
      <c r="G160" s="1083"/>
      <c r="H160" s="1083"/>
      <c r="IV160" s="417"/>
    </row>
    <row r="161" spans="1:256" s="416" customFormat="1" ht="12.75" customHeight="1">
      <c r="A161" s="1081" t="s">
        <v>805</v>
      </c>
      <c r="B161" s="1081"/>
      <c r="C161" s="1082">
        <v>0</v>
      </c>
      <c r="D161" s="1082"/>
      <c r="E161" s="1082"/>
      <c r="F161" s="1083">
        <v>0</v>
      </c>
      <c r="G161" s="1083"/>
      <c r="H161" s="1083"/>
      <c r="IV161" s="417"/>
    </row>
    <row r="162" spans="1:256" s="416" customFormat="1" ht="12.75" customHeight="1">
      <c r="A162" s="1081" t="s">
        <v>806</v>
      </c>
      <c r="B162" s="1081"/>
      <c r="C162" s="1082">
        <v>0</v>
      </c>
      <c r="D162" s="1082"/>
      <c r="E162" s="1082"/>
      <c r="F162" s="1083">
        <v>0</v>
      </c>
      <c r="G162" s="1083"/>
      <c r="H162" s="1083"/>
      <c r="IV162" s="417"/>
    </row>
    <row r="163" spans="1:256" s="416" customFormat="1" ht="12.75" customHeight="1">
      <c r="A163" s="1084" t="s">
        <v>807</v>
      </c>
      <c r="B163" s="1084"/>
      <c r="C163" s="1085">
        <f>+C157+C158</f>
        <v>1872598.4899999998</v>
      </c>
      <c r="D163" s="1085"/>
      <c r="E163" s="1085"/>
      <c r="F163" s="1086">
        <f>+F157+F158</f>
        <v>76369.81</v>
      </c>
      <c r="G163" s="1086"/>
      <c r="H163" s="1086"/>
      <c r="IV163" s="417"/>
    </row>
    <row r="164" spans="1:256" s="416" customFormat="1" ht="12.75" customHeight="1">
      <c r="A164" s="1078" t="s">
        <v>1151</v>
      </c>
      <c r="B164" s="1078"/>
      <c r="C164" s="1078"/>
      <c r="D164" s="1078"/>
      <c r="E164" s="1078"/>
      <c r="F164" s="1078"/>
      <c r="G164" s="1078"/>
      <c r="H164" s="1078"/>
      <c r="IV164" s="417"/>
    </row>
    <row r="165" spans="1:256" s="416" customFormat="1" ht="12.75" customHeight="1">
      <c r="A165" s="1079" t="s">
        <v>808</v>
      </c>
      <c r="B165" s="1079"/>
      <c r="C165" s="1079"/>
      <c r="D165" s="1079"/>
      <c r="E165" s="1079"/>
      <c r="F165" s="1079"/>
      <c r="G165" s="1079"/>
      <c r="H165" s="1079"/>
      <c r="IV165" s="417"/>
    </row>
    <row r="166" spans="1:256" s="416" customFormat="1" ht="24.75" customHeight="1">
      <c r="A166" s="1080" t="s">
        <v>809</v>
      </c>
      <c r="B166" s="1080"/>
      <c r="C166" s="1080"/>
      <c r="D166" s="1080"/>
      <c r="E166" s="1080"/>
      <c r="F166" s="1080"/>
      <c r="G166" s="1080"/>
      <c r="H166" s="1080"/>
      <c r="IV166" s="417"/>
    </row>
    <row r="167" spans="1:256" s="416" customFormat="1" ht="12.75" customHeight="1">
      <c r="A167" s="1079" t="s">
        <v>810</v>
      </c>
      <c r="B167" s="1079"/>
      <c r="C167" s="1079"/>
      <c r="D167" s="1079"/>
      <c r="E167" s="1079"/>
      <c r="F167" s="1079"/>
      <c r="G167" s="1079"/>
      <c r="H167" s="1079"/>
      <c r="IV167" s="417"/>
    </row>
    <row r="168" spans="1:256" s="416" customFormat="1" ht="12.75" customHeight="1">
      <c r="A168" s="1080" t="s">
        <v>811</v>
      </c>
      <c r="B168" s="1080"/>
      <c r="C168" s="1080"/>
      <c r="D168" s="1080"/>
      <c r="E168" s="1080"/>
      <c r="F168" s="1080"/>
      <c r="G168" s="1080"/>
      <c r="H168" s="1080"/>
      <c r="IV168" s="417"/>
    </row>
    <row r="169" spans="1:256" s="416" customFormat="1" ht="12.75" customHeight="1">
      <c r="A169" s="1079" t="s">
        <v>812</v>
      </c>
      <c r="B169" s="1079"/>
      <c r="C169" s="1079"/>
      <c r="D169" s="1079"/>
      <c r="E169" s="1079"/>
      <c r="F169" s="1079"/>
      <c r="G169" s="1079"/>
      <c r="H169" s="1079"/>
      <c r="IV169" s="417"/>
    </row>
    <row r="170" spans="1:8" ht="15" customHeight="1">
      <c r="A170" s="1077" t="s">
        <v>813</v>
      </c>
      <c r="B170" s="1077"/>
      <c r="C170" s="1077"/>
      <c r="D170" s="1077"/>
      <c r="E170" s="1077"/>
      <c r="F170" s="1077"/>
      <c r="G170" s="1077"/>
      <c r="H170" s="1077"/>
    </row>
    <row r="171" spans="1:8" ht="16.5" customHeight="1">
      <c r="A171" s="1077" t="s">
        <v>814</v>
      </c>
      <c r="B171" s="1077"/>
      <c r="C171" s="1077"/>
      <c r="D171" s="1077"/>
      <c r="E171" s="1077"/>
      <c r="F171" s="1077"/>
      <c r="G171" s="1077"/>
      <c r="H171" s="1077"/>
    </row>
  </sheetData>
  <sheetProtection password="F3F6" sheet="1"/>
  <mergeCells count="316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2:B162"/>
    <mergeCell ref="C162:E162"/>
    <mergeCell ref="F162:H162"/>
    <mergeCell ref="A163:B163"/>
    <mergeCell ref="C163:E163"/>
    <mergeCell ref="F163:H163"/>
    <mergeCell ref="A170:H170"/>
    <mergeCell ref="A171:H171"/>
    <mergeCell ref="A164:H164"/>
    <mergeCell ref="A165:H165"/>
    <mergeCell ref="A166:H166"/>
    <mergeCell ref="A167:H167"/>
    <mergeCell ref="A168:H168"/>
    <mergeCell ref="A169:H169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Werquithon .</cp:lastModifiedBy>
  <cp:lastPrinted>2018-04-05T16:46:57Z</cp:lastPrinted>
  <dcterms:created xsi:type="dcterms:W3CDTF">2004-08-09T19:29:24Z</dcterms:created>
  <dcterms:modified xsi:type="dcterms:W3CDTF">2020-07-21T11:32:12Z</dcterms:modified>
  <cp:category/>
  <cp:version/>
  <cp:contentType/>
  <cp:contentStatus/>
  <cp:revision>236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